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30" windowWidth="15180" windowHeight="8835" activeTab="0"/>
  </bookViews>
  <sheets>
    <sheet name="AnläggProvProgram" sheetId="1" r:id="rId1"/>
    <sheet name="Design Tool" sheetId="2" r:id="rId2"/>
  </sheets>
  <definedNames>
    <definedName name="_xlnm.Print_Area" localSheetId="0">'AnläggProvProgram'!$A$1:$U$84</definedName>
    <definedName name="_xlnm.Print_Area" localSheetId="1">'Design Tool'!$A$1:$U$84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Exjobb 1</author>
  </authors>
  <commentList>
    <comment ref="A38" authorId="0">
      <text>
        <r>
          <rPr>
            <sz val="8"/>
            <rFont val="Tahoma"/>
            <family val="0"/>
          </rPr>
          <t xml:space="preserve">Choose 11-11,5
</t>
        </r>
      </text>
    </comment>
  </commentList>
</comments>
</file>

<file path=xl/comments2.xml><?xml version="1.0" encoding="utf-8"?>
<comments xmlns="http://schemas.openxmlformats.org/spreadsheetml/2006/main">
  <authors>
    <author>Exjobb 1</author>
  </authors>
  <commentList>
    <comment ref="A38" authorId="0">
      <text>
        <r>
          <rPr>
            <sz val="8"/>
            <rFont val="Tahoma"/>
            <family val="0"/>
          </rPr>
          <t xml:space="preserve">Choose 11-11,5
</t>
        </r>
      </text>
    </comment>
  </commentList>
</comments>
</file>

<file path=xl/sharedStrings.xml><?xml version="1.0" encoding="utf-8"?>
<sst xmlns="http://schemas.openxmlformats.org/spreadsheetml/2006/main" count="354" uniqueCount="110">
  <si>
    <t>pH</t>
  </si>
  <si>
    <t>m3/h</t>
  </si>
  <si>
    <t>kW</t>
  </si>
  <si>
    <t>l/h</t>
  </si>
  <si>
    <t>°C</t>
  </si>
  <si>
    <t>mg/l</t>
  </si>
  <si>
    <t>Input values</t>
  </si>
  <si>
    <t>Output values</t>
  </si>
  <si>
    <t>FeCl3</t>
  </si>
  <si>
    <t>H2SO4</t>
  </si>
  <si>
    <t>Flow of inlet water, kg/s</t>
  </si>
  <si>
    <t>Ammonia concentration, mg N/l</t>
  </si>
  <si>
    <t>Bicarbonate concentration, mg HCO3/l</t>
  </si>
  <si>
    <t>Titration pH in acidification</t>
  </si>
  <si>
    <t>Raw water</t>
  </si>
  <si>
    <t>Reagents</t>
  </si>
  <si>
    <t>Concentration of sulphuric acid  g/l   H2SO4</t>
  </si>
  <si>
    <t>Concentration of sodium hydroxide, g/l   NaOH</t>
  </si>
  <si>
    <t>Concentration of ferric chloride, g/l   FeCl3</t>
  </si>
  <si>
    <t>Pretreatment</t>
  </si>
  <si>
    <t>pH in stripper inlet</t>
  </si>
  <si>
    <t>mM</t>
  </si>
  <si>
    <t>Removal efficiency for CO2 stripper</t>
  </si>
  <si>
    <t>Specific dosage of FeCl3 (100%)   g/m3</t>
  </si>
  <si>
    <t xml:space="preserve">Sulphuric acid consumption </t>
  </si>
  <si>
    <t>due to H2CO3</t>
  </si>
  <si>
    <t>due to HCO3</t>
  </si>
  <si>
    <t>due to NH3</t>
  </si>
  <si>
    <t>Sodium hydroxide consumption:</t>
  </si>
  <si>
    <t>Dosage flow of FeCl3</t>
  </si>
  <si>
    <t>Dosage flow of sodium hydroxide</t>
  </si>
  <si>
    <t>due to FeCl3</t>
  </si>
  <si>
    <t>Titration pH in alkalisation</t>
  </si>
  <si>
    <t>g/m3</t>
  </si>
  <si>
    <t>Precipitation of CaCO3</t>
  </si>
  <si>
    <t>Heat recovery in heat exchanger, %</t>
  </si>
  <si>
    <t>Net heat losses in stripper &amp; absorber, kW</t>
  </si>
  <si>
    <t>Heat recovered</t>
  </si>
  <si>
    <t>Adjustment of pH before NH3 stripper</t>
  </si>
  <si>
    <t>Dosage flow of additional sodium hydroxide</t>
  </si>
  <si>
    <t>m3/s</t>
  </si>
  <si>
    <t>Heating and heat recovery</t>
  </si>
  <si>
    <t>Ammonia stripping</t>
  </si>
  <si>
    <t>Entrainment of ammonium sulphate mg droplets/m3 gas</t>
  </si>
  <si>
    <t>mg/m3</t>
  </si>
  <si>
    <t xml:space="preserve">Entrainment rate </t>
  </si>
  <si>
    <t>kg N/h</t>
  </si>
  <si>
    <t>Slope of equilibrium line mol/mol    / mol/mol</t>
  </si>
  <si>
    <t>Concentration of ammonium sulphate, weight %</t>
  </si>
  <si>
    <t>Number of available  transfer units in desorber</t>
  </si>
  <si>
    <t>Used transfer units in desorber</t>
  </si>
  <si>
    <t>Used transfer units in absorber</t>
  </si>
  <si>
    <t>Number of available transfer units in absorber</t>
  </si>
  <si>
    <t>Catchment efficiency of ammonia in absorber</t>
  </si>
  <si>
    <t>Ammonia after absorption mmole NH3/mole gas</t>
  </si>
  <si>
    <t>Removed  NH3</t>
  </si>
  <si>
    <t>mmol/s</t>
  </si>
  <si>
    <t>M</t>
  </si>
  <si>
    <t>Difference:</t>
  </si>
  <si>
    <t>mol/s</t>
  </si>
  <si>
    <t>Gas flow m3/s;</t>
  </si>
  <si>
    <t>mmol N/s</t>
  </si>
  <si>
    <t>To absorber</t>
  </si>
  <si>
    <t>To final pH adjustment</t>
  </si>
  <si>
    <t>mg N/l</t>
  </si>
  <si>
    <t>mmol/mol</t>
  </si>
  <si>
    <t>due to nonabsorbed NH3, mmol/mol gas</t>
  </si>
  <si>
    <t>due to entrainment, mmol/mol gas</t>
  </si>
  <si>
    <t>Ammonia conc in gas from stripper, mmol/mol gas</t>
  </si>
  <si>
    <t>Equilibrium conc of NH3 above ammonium sulfate sol</t>
  </si>
  <si>
    <t>g/s</t>
  </si>
  <si>
    <t>Production of ammonium sulfate (100%)</t>
  </si>
  <si>
    <t>pH value in absorber</t>
  </si>
  <si>
    <t>Driving conc difference in top of absorber (gas)</t>
  </si>
  <si>
    <t>Driving conc difference in bottom of absorber (gas)</t>
  </si>
  <si>
    <t>Driving conc difference in top of stripper (gas)</t>
  </si>
  <si>
    <t>mmol N/mol gas</t>
  </si>
  <si>
    <t>mol /s</t>
  </si>
  <si>
    <t xml:space="preserve">NH3 (g) conc in top of stripper </t>
  </si>
  <si>
    <t>mgN/l</t>
  </si>
  <si>
    <t>Used transfer units in stripper</t>
  </si>
  <si>
    <t>Available transfer units in stripper</t>
  </si>
  <si>
    <t>Driving conc difference in bottom of stripper (gas)</t>
  </si>
  <si>
    <t>Difference</t>
  </si>
  <si>
    <t>stripper</t>
  </si>
  <si>
    <t>absorber</t>
  </si>
  <si>
    <t>pH value after stripper</t>
  </si>
  <si>
    <t>Removal efficiency of NH3 + NH4</t>
  </si>
  <si>
    <t>Outlet concentration of NH3-N  + NH4-N</t>
  </si>
  <si>
    <t>Sludge</t>
  </si>
  <si>
    <t>Sulphuric acid consumption in absorber</t>
  </si>
  <si>
    <t>Sulphuric acid consumption in final pH adjustment</t>
  </si>
  <si>
    <t>Final pH adjustment</t>
  </si>
  <si>
    <t>pH after adjustment</t>
  </si>
  <si>
    <t xml:space="preserve"> NaOH</t>
  </si>
  <si>
    <t xml:space="preserve">Stripping efficiency of  NH3 </t>
  </si>
  <si>
    <t>mV/L in stripper</t>
  </si>
  <si>
    <t>Concentration of H2CO3 in acidified water, mM</t>
  </si>
  <si>
    <t>Concentration of bicarbonate in acidified water, mM</t>
  </si>
  <si>
    <t>Concentration of H2CO3 in aerated water, mM</t>
  </si>
  <si>
    <t>Concentration of bicarbonate in aerated water, mM</t>
  </si>
  <si>
    <t>Chosen pH value for precipitation</t>
  </si>
  <si>
    <t>Concentration of NH3</t>
  </si>
  <si>
    <t>Concentration of NH4</t>
  </si>
  <si>
    <t>Precipitation of Fe(OH)3</t>
  </si>
  <si>
    <t>Temperature of raw water °C</t>
  </si>
  <si>
    <t>Temperature in stripper °C</t>
  </si>
  <si>
    <t>Heat addition in external heater</t>
  </si>
  <si>
    <t>Equilibrium conc of NH3 in top of stripper</t>
  </si>
  <si>
    <t>Equilibrium conc of NH3 in bottom of stripper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</si>
</sst>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[Red]\-#,##0&quot; kr&quot;"/>
    <numFmt numFmtId="165" formatCode="#,##0.00&quot; kr&quot;;[Red]\-#,##0.00&quot; kr&quot;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"/>
    <numFmt numFmtId="173" formatCode="0.0"/>
    <numFmt numFmtId="174" formatCode="0.0000000000"/>
    <numFmt numFmtId="175" formatCode="0.00000000000"/>
    <numFmt numFmtId="176" formatCode="0.0%"/>
    <numFmt numFmtId="177" formatCode="0.000%"/>
  </numFmts>
  <fonts count="15">
    <font>
      <sz val="10"/>
      <name val="Arial"/>
      <family val="0"/>
    </font>
    <font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0"/>
      <color indexed="9"/>
      <name val="Arial"/>
      <family val="2"/>
    </font>
    <font>
      <b/>
      <i/>
      <sz val="10"/>
      <color indexed="13"/>
      <name val="Arial"/>
      <family val="2"/>
    </font>
    <font>
      <sz val="10"/>
      <color indexed="13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1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 horizontal="center"/>
    </xf>
    <xf numFmtId="173" fontId="0" fillId="3" borderId="1" xfId="0" applyNumberFormat="1" applyFill="1" applyBorder="1" applyAlignment="1">
      <alignment horizontal="center"/>
    </xf>
    <xf numFmtId="0" fontId="7" fillId="3" borderId="0" xfId="0" applyFont="1" applyFill="1" applyAlignment="1">
      <alignment horizontal="centerContinuous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4" fillId="4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171" fontId="0" fillId="6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173" fontId="0" fillId="6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71" fontId="0" fillId="5" borderId="1" xfId="0" applyNumberFormat="1" applyFill="1" applyBorder="1" applyAlignment="1">
      <alignment horizontal="center"/>
    </xf>
    <xf numFmtId="173" fontId="0" fillId="5" borderId="1" xfId="0" applyNumberForma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right"/>
    </xf>
    <xf numFmtId="0" fontId="4" fillId="7" borderId="1" xfId="0" applyFont="1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10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9" fontId="9" fillId="0" borderId="1" xfId="0" applyNumberFormat="1" applyFont="1" applyFill="1" applyBorder="1" applyAlignment="1">
      <alignment horizontal="center"/>
    </xf>
    <xf numFmtId="171" fontId="9" fillId="0" borderId="1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8" borderId="1" xfId="0" applyFont="1" applyFill="1" applyBorder="1" applyAlignment="1">
      <alignment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/>
    </xf>
    <xf numFmtId="0" fontId="13" fillId="8" borderId="0" xfId="0" applyFont="1" applyFill="1" applyAlignment="1">
      <alignment/>
    </xf>
    <xf numFmtId="9" fontId="13" fillId="8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173" fontId="9" fillId="0" borderId="1" xfId="0" applyNumberFormat="1" applyFont="1" applyFill="1" applyBorder="1" applyAlignment="1">
      <alignment horizontal="center"/>
    </xf>
    <xf numFmtId="0" fontId="13" fillId="9" borderId="1" xfId="0" applyFont="1" applyFill="1" applyBorder="1" applyAlignment="1">
      <alignment/>
    </xf>
    <xf numFmtId="0" fontId="9" fillId="9" borderId="1" xfId="0" applyFont="1" applyFill="1" applyBorder="1" applyAlignment="1">
      <alignment horizontal="center"/>
    </xf>
    <xf numFmtId="2" fontId="13" fillId="9" borderId="1" xfId="0" applyNumberFormat="1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1" fontId="13" fillId="9" borderId="1" xfId="0" applyNumberFormat="1" applyFont="1" applyFill="1" applyBorder="1" applyAlignment="1">
      <alignment horizontal="center"/>
    </xf>
    <xf numFmtId="169" fontId="13" fillId="9" borderId="1" xfId="0" applyNumberFormat="1" applyFont="1" applyFill="1" applyBorder="1" applyAlignment="1">
      <alignment horizontal="center"/>
    </xf>
    <xf numFmtId="171" fontId="13" fillId="9" borderId="1" xfId="0" applyNumberFormat="1" applyFont="1" applyFill="1" applyBorder="1" applyAlignment="1">
      <alignment horizontal="center"/>
    </xf>
    <xf numFmtId="0" fontId="13" fillId="9" borderId="1" xfId="0" applyFont="1" applyFill="1" applyBorder="1" applyAlignment="1">
      <alignment horizontal="right"/>
    </xf>
    <xf numFmtId="172" fontId="13" fillId="9" borderId="1" xfId="0" applyNumberFormat="1" applyFont="1" applyFill="1" applyBorder="1" applyAlignment="1">
      <alignment horizontal="center"/>
    </xf>
    <xf numFmtId="168" fontId="13" fillId="9" borderId="1" xfId="0" applyNumberFormat="1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173" fontId="13" fillId="9" borderId="1" xfId="0" applyNumberFormat="1" applyFont="1" applyFill="1" applyBorder="1" applyAlignment="1">
      <alignment horizontal="center"/>
    </xf>
    <xf numFmtId="0" fontId="13" fillId="9" borderId="0" xfId="0" applyFont="1" applyFill="1" applyAlignment="1">
      <alignment/>
    </xf>
    <xf numFmtId="171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73" fontId="0" fillId="0" borderId="1" xfId="0" applyNumberForma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9" borderId="1" xfId="0" applyFont="1" applyFill="1" applyBorder="1" applyAlignment="1">
      <alignment/>
    </xf>
    <xf numFmtId="2" fontId="9" fillId="9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1" fontId="5" fillId="0" borderId="0" xfId="0" applyNumberFormat="1" applyFont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2" fontId="7" fillId="0" borderId="0" xfId="0" applyNumberFormat="1" applyFont="1" applyAlignment="1">
      <alignment horizontal="right"/>
    </xf>
    <xf numFmtId="173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Percent" xfId="15"/>
    <cellStyle name="Comma" xfId="16"/>
    <cellStyle name="Tusental (0)_befuktare_seneaförfrågan" xfId="17"/>
    <cellStyle name="Comma [0]" xfId="18"/>
    <cellStyle name="Currency" xfId="19"/>
    <cellStyle name="Valuta (0)_befuktare_seneaförfrågan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6</xdr:col>
      <xdr:colOff>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972175" y="381000"/>
          <a:ext cx="0" cy="838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</xdr:row>
      <xdr:rowOff>0</xdr:rowOff>
    </xdr:from>
    <xdr:to>
      <xdr:col>8</xdr:col>
      <xdr:colOff>0</xdr:colOff>
      <xdr:row>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6419850" y="161925"/>
          <a:ext cx="9525" cy="1133475"/>
        </a:xfrm>
        <a:custGeom>
          <a:pathLst>
            <a:path h="119" w="1">
              <a:moveTo>
                <a:pt x="0" y="0"/>
              </a:moveTo>
              <a:lnTo>
                <a:pt x="0" y="119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5</xdr:row>
      <xdr:rowOff>152400</xdr:rowOff>
    </xdr:from>
    <xdr:to>
      <xdr:col>11</xdr:col>
      <xdr:colOff>38100</xdr:colOff>
      <xdr:row>5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6467475" y="106680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57150</xdr:rowOff>
    </xdr:from>
    <xdr:to>
      <xdr:col>10</xdr:col>
      <xdr:colOff>95250</xdr:colOff>
      <xdr:row>5</xdr:row>
      <xdr:rowOff>57150</xdr:rowOff>
    </xdr:to>
    <xdr:sp>
      <xdr:nvSpPr>
        <xdr:cNvPr id="4" name="Line 4"/>
        <xdr:cNvSpPr>
          <a:spLocks/>
        </xdr:cNvSpPr>
      </xdr:nvSpPr>
      <xdr:spPr>
        <a:xfrm flipH="1">
          <a:off x="6438900" y="97155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18</xdr:row>
      <xdr:rowOff>152400</xdr:rowOff>
    </xdr:from>
    <xdr:to>
      <xdr:col>8</xdr:col>
      <xdr:colOff>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419850" y="3171825"/>
          <a:ext cx="9525" cy="333375"/>
        </a:xfrm>
        <a:custGeom>
          <a:pathLst>
            <a:path h="35" w="1">
              <a:moveTo>
                <a:pt x="0" y="0"/>
              </a:moveTo>
              <a:lnTo>
                <a:pt x="0" y="35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9</xdr:row>
      <xdr:rowOff>19050</xdr:rowOff>
    </xdr:from>
    <xdr:to>
      <xdr:col>8</xdr:col>
      <xdr:colOff>0</xdr:colOff>
      <xdr:row>11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6419850" y="1657350"/>
          <a:ext cx="9525" cy="304800"/>
        </a:xfrm>
        <a:custGeom>
          <a:pathLst>
            <a:path h="42" w="1">
              <a:moveTo>
                <a:pt x="0" y="0"/>
              </a:moveTo>
              <a:lnTo>
                <a:pt x="0" y="42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</xdr:row>
      <xdr:rowOff>0</xdr:rowOff>
    </xdr:from>
    <xdr:to>
      <xdr:col>7</xdr:col>
      <xdr:colOff>209550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6410325" y="2371725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133350</xdr:rowOff>
    </xdr:from>
    <xdr:to>
      <xdr:col>8</xdr:col>
      <xdr:colOff>9525</xdr:colOff>
      <xdr:row>26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6429375" y="3800475"/>
          <a:ext cx="9525" cy="695325"/>
        </a:xfrm>
        <a:custGeom>
          <a:pathLst>
            <a:path h="73" w="1">
              <a:moveTo>
                <a:pt x="0" y="0"/>
              </a:moveTo>
              <a:lnTo>
                <a:pt x="0" y="73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18</xdr:row>
      <xdr:rowOff>152400</xdr:rowOff>
    </xdr:from>
    <xdr:to>
      <xdr:col>13</xdr:col>
      <xdr:colOff>142875</xdr:colOff>
      <xdr:row>19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029450" y="3171825"/>
          <a:ext cx="723900" cy="9525"/>
        </a:xfrm>
        <a:custGeom>
          <a:pathLst>
            <a:path h="1" w="76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7</xdr:row>
      <xdr:rowOff>57150</xdr:rowOff>
    </xdr:from>
    <xdr:to>
      <xdr:col>10</xdr:col>
      <xdr:colOff>123825</xdr:colOff>
      <xdr:row>9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6191250" y="1295400"/>
          <a:ext cx="857250" cy="361950"/>
        </a:xfrm>
        <a:prstGeom prst="rect">
          <a:avLst/>
        </a:prstGeom>
        <a:solidFill>
          <a:srgbClr val="CC99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11</xdr:row>
      <xdr:rowOff>95250</xdr:rowOff>
    </xdr:from>
    <xdr:to>
      <xdr:col>10</xdr:col>
      <xdr:colOff>142875</xdr:colOff>
      <xdr:row>13</xdr:row>
      <xdr:rowOff>152400</xdr:rowOff>
    </xdr:to>
    <xdr:sp>
      <xdr:nvSpPr>
        <xdr:cNvPr id="11" name="Rectangle 11"/>
        <xdr:cNvSpPr>
          <a:spLocks/>
        </xdr:cNvSpPr>
      </xdr:nvSpPr>
      <xdr:spPr>
        <a:xfrm>
          <a:off x="6191250" y="1962150"/>
          <a:ext cx="876300" cy="400050"/>
        </a:xfrm>
        <a:prstGeom prst="rect">
          <a:avLst/>
        </a:prstGeom>
        <a:solidFill>
          <a:srgbClr val="99CC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9525</xdr:rowOff>
    </xdr:from>
    <xdr:to>
      <xdr:col>10</xdr:col>
      <xdr:colOff>180975</xdr:colOff>
      <xdr:row>18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6219825" y="2867025"/>
          <a:ext cx="885825" cy="3048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19050</xdr:rowOff>
    </xdr:from>
    <xdr:to>
      <xdr:col>10</xdr:col>
      <xdr:colOff>219075</xdr:colOff>
      <xdr:row>22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6210300" y="3524250"/>
          <a:ext cx="933450" cy="2857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114300</xdr:colOff>
      <xdr:row>7</xdr:row>
      <xdr:rowOff>114300</xdr:rowOff>
    </xdr:from>
    <xdr:ext cx="523875" cy="190500"/>
    <xdr:sp>
      <xdr:nvSpPr>
        <xdr:cNvPr id="14" name="TextBox 14"/>
        <xdr:cNvSpPr txBox="1">
          <a:spLocks noChangeArrowheads="1"/>
        </xdr:cNvSpPr>
      </xdr:nvSpPr>
      <xdr:spPr>
        <a:xfrm>
          <a:off x="6315075" y="13525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Stripper</a:t>
          </a:r>
        </a:p>
      </xdr:txBody>
    </xdr:sp>
    <xdr:clientData/>
  </xdr:oneCellAnchor>
  <xdr:oneCellAnchor>
    <xdr:from>
      <xdr:col>7</xdr:col>
      <xdr:colOff>76200</xdr:colOff>
      <xdr:row>12</xdr:row>
      <xdr:rowOff>38100</xdr:rowOff>
    </xdr:from>
    <xdr:ext cx="800100" cy="200025"/>
    <xdr:sp>
      <xdr:nvSpPr>
        <xdr:cNvPr id="15" name="TextBox 15"/>
        <xdr:cNvSpPr txBox="1">
          <a:spLocks noChangeArrowheads="1"/>
        </xdr:cNvSpPr>
      </xdr:nvSpPr>
      <xdr:spPr>
        <a:xfrm>
          <a:off x="6276975" y="2000250"/>
          <a:ext cx="800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Precipitation</a:t>
          </a:r>
        </a:p>
      </xdr:txBody>
    </xdr:sp>
    <xdr:clientData/>
  </xdr:oneCellAnchor>
  <xdr:oneCellAnchor>
    <xdr:from>
      <xdr:col>7</xdr:col>
      <xdr:colOff>38100</xdr:colOff>
      <xdr:row>17</xdr:row>
      <xdr:rowOff>38100</xdr:rowOff>
    </xdr:from>
    <xdr:ext cx="904875" cy="200025"/>
    <xdr:sp>
      <xdr:nvSpPr>
        <xdr:cNvPr id="16" name="TextBox 16"/>
        <xdr:cNvSpPr txBox="1">
          <a:spLocks noChangeArrowheads="1"/>
        </xdr:cNvSpPr>
      </xdr:nvSpPr>
      <xdr:spPr>
        <a:xfrm>
          <a:off x="6238875" y="2895600"/>
          <a:ext cx="904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Sedimentation</a:t>
          </a:r>
        </a:p>
      </xdr:txBody>
    </xdr:sp>
    <xdr:clientData/>
  </xdr:oneCellAnchor>
  <xdr:oneCellAnchor>
    <xdr:from>
      <xdr:col>7</xdr:col>
      <xdr:colOff>114300</xdr:colOff>
      <xdr:row>21</xdr:row>
      <xdr:rowOff>76200</xdr:rowOff>
    </xdr:from>
    <xdr:ext cx="685800" cy="209550"/>
    <xdr:sp>
      <xdr:nvSpPr>
        <xdr:cNvPr id="17" name="TextBox 17"/>
        <xdr:cNvSpPr txBox="1">
          <a:spLocks noChangeArrowheads="1"/>
        </xdr:cNvSpPr>
      </xdr:nvSpPr>
      <xdr:spPr>
        <a:xfrm>
          <a:off x="6315075" y="35814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  filter</a:t>
          </a:r>
        </a:p>
      </xdr:txBody>
    </xdr:sp>
    <xdr:clientData/>
  </xdr:oneCellAnchor>
  <xdr:twoCellAnchor>
    <xdr:from>
      <xdr:col>7</xdr:col>
      <xdr:colOff>38100</xdr:colOff>
      <xdr:row>37</xdr:row>
      <xdr:rowOff>76200</xdr:rowOff>
    </xdr:from>
    <xdr:to>
      <xdr:col>11</xdr:col>
      <xdr:colOff>9525</xdr:colOff>
      <xdr:row>39</xdr:row>
      <xdr:rowOff>200025</xdr:rowOff>
    </xdr:to>
    <xdr:sp>
      <xdr:nvSpPr>
        <xdr:cNvPr id="18" name="Rectangle 18"/>
        <xdr:cNvSpPr>
          <a:spLocks/>
        </xdr:cNvSpPr>
      </xdr:nvSpPr>
      <xdr:spPr>
        <a:xfrm>
          <a:off x="6238875" y="6219825"/>
          <a:ext cx="923925" cy="447675"/>
        </a:xfrm>
        <a:prstGeom prst="rect">
          <a:avLst/>
        </a:prstGeom>
        <a:solidFill>
          <a:srgbClr val="FF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66675</xdr:rowOff>
    </xdr:from>
    <xdr:to>
      <xdr:col>11</xdr:col>
      <xdr:colOff>9525</xdr:colOff>
      <xdr:row>45</xdr:row>
      <xdr:rowOff>95250</xdr:rowOff>
    </xdr:to>
    <xdr:sp>
      <xdr:nvSpPr>
        <xdr:cNvPr id="19" name="Rectangle 19"/>
        <xdr:cNvSpPr>
          <a:spLocks/>
        </xdr:cNvSpPr>
      </xdr:nvSpPr>
      <xdr:spPr>
        <a:xfrm>
          <a:off x="6210300" y="7286625"/>
          <a:ext cx="952500" cy="352425"/>
        </a:xfrm>
        <a:prstGeom prst="rect">
          <a:avLst/>
        </a:prstGeom>
        <a:solidFill>
          <a:srgbClr val="FF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30</xdr:row>
      <xdr:rowOff>114300</xdr:rowOff>
    </xdr:from>
    <xdr:to>
      <xdr:col>16</xdr:col>
      <xdr:colOff>0</xdr:colOff>
      <xdr:row>35</xdr:row>
      <xdr:rowOff>123825</xdr:rowOff>
    </xdr:to>
    <xdr:sp>
      <xdr:nvSpPr>
        <xdr:cNvPr id="20" name="Rectangle 20"/>
        <xdr:cNvSpPr>
          <a:spLocks/>
        </xdr:cNvSpPr>
      </xdr:nvSpPr>
      <xdr:spPr>
        <a:xfrm>
          <a:off x="7772400" y="5105400"/>
          <a:ext cx="523875" cy="8191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31</xdr:row>
      <xdr:rowOff>28575</xdr:rowOff>
    </xdr:from>
    <xdr:to>
      <xdr:col>16</xdr:col>
      <xdr:colOff>47625</xdr:colOff>
      <xdr:row>35</xdr:row>
      <xdr:rowOff>85725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829550" y="5181600"/>
          <a:ext cx="514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Carbon
filter</a:t>
          </a:r>
        </a:p>
      </xdr:txBody>
    </xdr:sp>
    <xdr:clientData/>
  </xdr:twoCellAnchor>
  <xdr:twoCellAnchor>
    <xdr:from>
      <xdr:col>14</xdr:col>
      <xdr:colOff>0</xdr:colOff>
      <xdr:row>35</xdr:row>
      <xdr:rowOff>142875</xdr:rowOff>
    </xdr:from>
    <xdr:to>
      <xdr:col>14</xdr:col>
      <xdr:colOff>9525</xdr:colOff>
      <xdr:row>37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7839075" y="5943600"/>
          <a:ext cx="9525" cy="314325"/>
        </a:xfrm>
        <a:custGeom>
          <a:pathLst>
            <a:path h="33" w="1">
              <a:moveTo>
                <a:pt x="0" y="33"/>
              </a:moveTo>
              <a:lnTo>
                <a:pt x="0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39</xdr:row>
      <xdr:rowOff>200025</xdr:rowOff>
    </xdr:from>
    <xdr:to>
      <xdr:col>7</xdr:col>
      <xdr:colOff>219075</xdr:colOff>
      <xdr:row>43</xdr:row>
      <xdr:rowOff>85725</xdr:rowOff>
    </xdr:to>
    <xdr:sp>
      <xdr:nvSpPr>
        <xdr:cNvPr id="23" name="AutoShape 23"/>
        <xdr:cNvSpPr>
          <a:spLocks/>
        </xdr:cNvSpPr>
      </xdr:nvSpPr>
      <xdr:spPr>
        <a:xfrm>
          <a:off x="6410325" y="6667500"/>
          <a:ext cx="9525" cy="638175"/>
        </a:xfrm>
        <a:custGeom>
          <a:pathLst>
            <a:path h="67" w="1">
              <a:moveTo>
                <a:pt x="0" y="0"/>
              </a:moveTo>
              <a:lnTo>
                <a:pt x="0" y="67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152400</xdr:colOff>
      <xdr:row>38</xdr:row>
      <xdr:rowOff>0</xdr:rowOff>
    </xdr:from>
    <xdr:ext cx="695325" cy="381000"/>
    <xdr:sp>
      <xdr:nvSpPr>
        <xdr:cNvPr id="24" name="TextBox 24"/>
        <xdr:cNvSpPr txBox="1">
          <a:spLocks noChangeArrowheads="1"/>
        </xdr:cNvSpPr>
      </xdr:nvSpPr>
      <xdr:spPr>
        <a:xfrm>
          <a:off x="6353175" y="630555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Heat exch.</a:t>
          </a:r>
        </a:p>
      </xdr:txBody>
    </xdr:sp>
    <xdr:clientData/>
  </xdr:oneCellAnchor>
  <xdr:oneCellAnchor>
    <xdr:from>
      <xdr:col>7</xdr:col>
      <xdr:colOff>76200</xdr:colOff>
      <xdr:row>43</xdr:row>
      <xdr:rowOff>152400</xdr:rowOff>
    </xdr:from>
    <xdr:ext cx="495300" cy="200025"/>
    <xdr:sp>
      <xdr:nvSpPr>
        <xdr:cNvPr id="25" name="TextBox 25"/>
        <xdr:cNvSpPr txBox="1">
          <a:spLocks noChangeArrowheads="1"/>
        </xdr:cNvSpPr>
      </xdr:nvSpPr>
      <xdr:spPr>
        <a:xfrm>
          <a:off x="6276975" y="73723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Heater.</a:t>
          </a:r>
        </a:p>
      </xdr:txBody>
    </xdr:sp>
    <xdr:clientData/>
  </xdr:oneCellAnchor>
  <xdr:twoCellAnchor>
    <xdr:from>
      <xdr:col>7</xdr:col>
      <xdr:colOff>171450</xdr:colOff>
      <xdr:row>45</xdr:row>
      <xdr:rowOff>104775</xdr:rowOff>
    </xdr:from>
    <xdr:to>
      <xdr:col>7</xdr:col>
      <xdr:colOff>180975</xdr:colOff>
      <xdr:row>52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6372225" y="7648575"/>
          <a:ext cx="9525" cy="1162050"/>
        </a:xfrm>
        <a:custGeom>
          <a:pathLst>
            <a:path h="111" w="1">
              <a:moveTo>
                <a:pt x="0" y="0"/>
              </a:moveTo>
              <a:lnTo>
                <a:pt x="0" y="111"/>
              </a:lnTo>
            </a:path>
          </a:pathLst>
        </a:cu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0</xdr:rowOff>
    </xdr:from>
    <xdr:to>
      <xdr:col>6</xdr:col>
      <xdr:colOff>19050</xdr:colOff>
      <xdr:row>69</xdr:row>
      <xdr:rowOff>76200</xdr:rowOff>
    </xdr:to>
    <xdr:sp>
      <xdr:nvSpPr>
        <xdr:cNvPr id="27" name="AutoShape 27"/>
        <xdr:cNvSpPr>
          <a:spLocks/>
        </xdr:cNvSpPr>
      </xdr:nvSpPr>
      <xdr:spPr>
        <a:xfrm>
          <a:off x="5981700" y="6467475"/>
          <a:ext cx="9525" cy="4848225"/>
        </a:xfrm>
        <a:custGeom>
          <a:pathLst>
            <a:path h="509" w="1">
              <a:moveTo>
                <a:pt x="0" y="509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0</xdr:rowOff>
    </xdr:from>
    <xdr:to>
      <xdr:col>7</xdr:col>
      <xdr:colOff>57150</xdr:colOff>
      <xdr:row>39</xdr:row>
      <xdr:rowOff>9525</xdr:rowOff>
    </xdr:to>
    <xdr:sp>
      <xdr:nvSpPr>
        <xdr:cNvPr id="28" name="AutoShape 28"/>
        <xdr:cNvSpPr>
          <a:spLocks/>
        </xdr:cNvSpPr>
      </xdr:nvSpPr>
      <xdr:spPr>
        <a:xfrm>
          <a:off x="5981700" y="6467475"/>
          <a:ext cx="276225" cy="9525"/>
        </a:xfrm>
        <a:custGeom>
          <a:pathLst>
            <a:path h="1" w="29">
              <a:moveTo>
                <a:pt x="0" y="1"/>
              </a:moveTo>
              <a:lnTo>
                <a:pt x="29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66675</xdr:rowOff>
    </xdr:from>
    <xdr:to>
      <xdr:col>14</xdr:col>
      <xdr:colOff>19050</xdr:colOff>
      <xdr:row>30</xdr:row>
      <xdr:rowOff>114300</xdr:rowOff>
    </xdr:to>
    <xdr:sp>
      <xdr:nvSpPr>
        <xdr:cNvPr id="29" name="AutoShape 29"/>
        <xdr:cNvSpPr>
          <a:spLocks/>
        </xdr:cNvSpPr>
      </xdr:nvSpPr>
      <xdr:spPr>
        <a:xfrm>
          <a:off x="7848600" y="4733925"/>
          <a:ext cx="9525" cy="371475"/>
        </a:xfrm>
        <a:custGeom>
          <a:pathLst>
            <a:path h="39" w="1">
              <a:moveTo>
                <a:pt x="0" y="39"/>
              </a:moveTo>
              <a:lnTo>
                <a:pt x="0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19050</xdr:rowOff>
    </xdr:from>
    <xdr:to>
      <xdr:col>6</xdr:col>
      <xdr:colOff>9525</xdr:colOff>
      <xdr:row>38</xdr:row>
      <xdr:rowOff>123825</xdr:rowOff>
    </xdr:to>
    <xdr:sp>
      <xdr:nvSpPr>
        <xdr:cNvPr id="30" name="AutoShape 30"/>
        <xdr:cNvSpPr>
          <a:spLocks/>
        </xdr:cNvSpPr>
      </xdr:nvSpPr>
      <xdr:spPr>
        <a:xfrm>
          <a:off x="5972175" y="5495925"/>
          <a:ext cx="9525" cy="933450"/>
        </a:xfrm>
        <a:custGeom>
          <a:pathLst>
            <a:path h="98" w="1">
              <a:moveTo>
                <a:pt x="0" y="0"/>
              </a:moveTo>
              <a:lnTo>
                <a:pt x="0" y="98"/>
              </a:lnTo>
            </a:path>
          </a:pathLst>
        </a:custGeom>
        <a:noFill/>
        <a:ln w="31750" cmpd="sng">
          <a:solidFill>
            <a:srgbClr val="FF6600"/>
          </a:solidFill>
          <a:prstDash val="sysDash"/>
          <a:headEnd type="none"/>
          <a:tailEnd type="stealth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24</xdr:row>
      <xdr:rowOff>19050</xdr:rowOff>
    </xdr:from>
    <xdr:to>
      <xdr:col>7</xdr:col>
      <xdr:colOff>200025</xdr:colOff>
      <xdr:row>24</xdr:row>
      <xdr:rowOff>28575</xdr:rowOff>
    </xdr:to>
    <xdr:sp>
      <xdr:nvSpPr>
        <xdr:cNvPr id="31" name="Line 31"/>
        <xdr:cNvSpPr>
          <a:spLocks/>
        </xdr:cNvSpPr>
      </xdr:nvSpPr>
      <xdr:spPr>
        <a:xfrm flipV="1">
          <a:off x="5610225" y="4010025"/>
          <a:ext cx="790575" cy="9525"/>
        </a:xfrm>
        <a:prstGeom prst="line">
          <a:avLst/>
        </a:prstGeom>
        <a:noFill/>
        <a:ln w="31750" cmpd="sng">
          <a:solidFill>
            <a:srgbClr val="0000FF"/>
          </a:solidFill>
          <a:prstDash val="dash"/>
          <a:headEnd type="none"/>
          <a:tailEnd type="arrow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12</xdr:row>
      <xdr:rowOff>85725</xdr:rowOff>
    </xdr:from>
    <xdr:to>
      <xdr:col>6</xdr:col>
      <xdr:colOff>209550</xdr:colOff>
      <xdr:row>12</xdr:row>
      <xdr:rowOff>95250</xdr:rowOff>
    </xdr:to>
    <xdr:sp>
      <xdr:nvSpPr>
        <xdr:cNvPr id="32" name="AutoShape 32"/>
        <xdr:cNvSpPr>
          <a:spLocks/>
        </xdr:cNvSpPr>
      </xdr:nvSpPr>
      <xdr:spPr>
        <a:xfrm>
          <a:off x="5629275" y="2047875"/>
          <a:ext cx="552450" cy="9525"/>
        </a:xfrm>
        <a:custGeom>
          <a:pathLst>
            <a:path h="1" w="58">
              <a:moveTo>
                <a:pt x="0" y="0"/>
              </a:moveTo>
              <a:lnTo>
                <a:pt x="58" y="0"/>
              </a:lnTo>
            </a:path>
          </a:pathLst>
        </a:custGeom>
        <a:noFill/>
        <a:ln w="31750" cmpd="sng">
          <a:solidFill>
            <a:srgbClr val="0000FF"/>
          </a:solidFill>
          <a:prstDash val="dash"/>
          <a:headEnd type="none"/>
          <a:tailEnd type="arrow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85725</xdr:rowOff>
    </xdr:from>
    <xdr:to>
      <xdr:col>4</xdr:col>
      <xdr:colOff>47625</xdr:colOff>
      <xdr:row>24</xdr:row>
      <xdr:rowOff>28575</xdr:rowOff>
    </xdr:to>
    <xdr:sp>
      <xdr:nvSpPr>
        <xdr:cNvPr id="33" name="Line 33"/>
        <xdr:cNvSpPr>
          <a:spLocks/>
        </xdr:cNvSpPr>
      </xdr:nvSpPr>
      <xdr:spPr>
        <a:xfrm>
          <a:off x="5610225" y="447675"/>
          <a:ext cx="9525" cy="3571875"/>
        </a:xfrm>
        <a:prstGeom prst="line">
          <a:avLst/>
        </a:prstGeom>
        <a:noFill/>
        <a:ln w="317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12</xdr:row>
      <xdr:rowOff>0</xdr:rowOff>
    </xdr:from>
    <xdr:to>
      <xdr:col>14</xdr:col>
      <xdr:colOff>123825</xdr:colOff>
      <xdr:row>12</xdr:row>
      <xdr:rowOff>9525</xdr:rowOff>
    </xdr:to>
    <xdr:sp>
      <xdr:nvSpPr>
        <xdr:cNvPr id="34" name="AutoShape 34"/>
        <xdr:cNvSpPr>
          <a:spLocks/>
        </xdr:cNvSpPr>
      </xdr:nvSpPr>
      <xdr:spPr>
        <a:xfrm>
          <a:off x="7077075" y="1962150"/>
          <a:ext cx="885825" cy="9525"/>
        </a:xfrm>
        <a:custGeom>
          <a:pathLst>
            <a:path h="1" w="93">
              <a:moveTo>
                <a:pt x="93" y="0"/>
              </a:moveTo>
              <a:lnTo>
                <a:pt x="0" y="0"/>
              </a:lnTo>
            </a:path>
          </a:pathLst>
        </a:custGeom>
        <a:noFill/>
        <a:ln w="28575" cmpd="sng">
          <a:solidFill>
            <a:srgbClr val="339966"/>
          </a:solidFill>
          <a:headEnd type="none"/>
          <a:tailEnd type="arrow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17</xdr:col>
      <xdr:colOff>0</xdr:colOff>
      <xdr:row>5</xdr:row>
      <xdr:rowOff>9525</xdr:rowOff>
    </xdr:to>
    <xdr:sp>
      <xdr:nvSpPr>
        <xdr:cNvPr id="35" name="AutoShape 35"/>
        <xdr:cNvSpPr>
          <a:spLocks/>
        </xdr:cNvSpPr>
      </xdr:nvSpPr>
      <xdr:spPr>
        <a:xfrm>
          <a:off x="6429375" y="914400"/>
          <a:ext cx="2095500" cy="9525"/>
        </a:xfrm>
        <a:custGeom>
          <a:pathLst>
            <a:path h="1" w="220">
              <a:moveTo>
                <a:pt x="220" y="0"/>
              </a:moveTo>
              <a:lnTo>
                <a:pt x="0" y="0"/>
              </a:lnTo>
            </a:path>
          </a:pathLst>
        </a:custGeom>
        <a:noFill/>
        <a:ln w="31750" cmpd="sng">
          <a:solidFill>
            <a:srgbClr val="FF6600"/>
          </a:solidFill>
          <a:prstDash val="sysDash"/>
          <a:headEnd type="stealth"/>
          <a:tailEnd type="stealth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</xdr:row>
      <xdr:rowOff>28575</xdr:rowOff>
    </xdr:from>
    <xdr:to>
      <xdr:col>14</xdr:col>
      <xdr:colOff>0</xdr:colOff>
      <xdr:row>5</xdr:row>
      <xdr:rowOff>9525</xdr:rowOff>
    </xdr:to>
    <xdr:sp>
      <xdr:nvSpPr>
        <xdr:cNvPr id="36" name="AutoShape 36"/>
        <xdr:cNvSpPr>
          <a:spLocks/>
        </xdr:cNvSpPr>
      </xdr:nvSpPr>
      <xdr:spPr>
        <a:xfrm>
          <a:off x="7829550" y="190500"/>
          <a:ext cx="9525" cy="733425"/>
        </a:xfrm>
        <a:custGeom>
          <a:pathLst>
            <a:path h="77" w="1">
              <a:moveTo>
                <a:pt x="0" y="0"/>
              </a:moveTo>
              <a:lnTo>
                <a:pt x="0" y="77"/>
              </a:lnTo>
            </a:path>
          </a:pathLst>
        </a:custGeom>
        <a:noFill/>
        <a:ln w="38100" cmpd="sng">
          <a:solidFill>
            <a:srgbClr val="FF6600"/>
          </a:solidFill>
          <a:prstDash val="sysDash"/>
          <a:headEnd type="none"/>
          <a:tailEnd type="stealth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37</xdr:row>
      <xdr:rowOff>114300</xdr:rowOff>
    </xdr:from>
    <xdr:to>
      <xdr:col>14</xdr:col>
      <xdr:colOff>19050</xdr:colOff>
      <xdr:row>37</xdr:row>
      <xdr:rowOff>123825</xdr:rowOff>
    </xdr:to>
    <xdr:sp>
      <xdr:nvSpPr>
        <xdr:cNvPr id="37" name="AutoShape 37"/>
        <xdr:cNvSpPr>
          <a:spLocks/>
        </xdr:cNvSpPr>
      </xdr:nvSpPr>
      <xdr:spPr>
        <a:xfrm>
          <a:off x="7162800" y="6257925"/>
          <a:ext cx="695325" cy="9525"/>
        </a:xfrm>
        <a:custGeom>
          <a:pathLst>
            <a:path h="1" w="73">
              <a:moveTo>
                <a:pt x="0" y="0"/>
              </a:moveTo>
              <a:lnTo>
                <a:pt x="73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61</xdr:row>
      <xdr:rowOff>47625</xdr:rowOff>
    </xdr:from>
    <xdr:to>
      <xdr:col>9</xdr:col>
      <xdr:colOff>133350</xdr:colOff>
      <xdr:row>67</xdr:row>
      <xdr:rowOff>9525</xdr:rowOff>
    </xdr:to>
    <xdr:sp>
      <xdr:nvSpPr>
        <xdr:cNvPr id="38" name="Rectangle 38"/>
        <xdr:cNvSpPr>
          <a:spLocks/>
        </xdr:cNvSpPr>
      </xdr:nvSpPr>
      <xdr:spPr>
        <a:xfrm>
          <a:off x="6229350" y="9991725"/>
          <a:ext cx="600075" cy="9334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62</xdr:row>
      <xdr:rowOff>9525</xdr:rowOff>
    </xdr:from>
    <xdr:to>
      <xdr:col>9</xdr:col>
      <xdr:colOff>95250</xdr:colOff>
      <xdr:row>64</xdr:row>
      <xdr:rowOff>9525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238875" y="10115550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NH3 Stripper</a:t>
          </a:r>
        </a:p>
      </xdr:txBody>
    </xdr:sp>
    <xdr:clientData/>
  </xdr:twoCellAnchor>
  <xdr:twoCellAnchor>
    <xdr:from>
      <xdr:col>8</xdr:col>
      <xdr:colOff>0</xdr:colOff>
      <xdr:row>67</xdr:row>
      <xdr:rowOff>9525</xdr:rowOff>
    </xdr:from>
    <xdr:to>
      <xdr:col>8</xdr:col>
      <xdr:colOff>0</xdr:colOff>
      <xdr:row>69</xdr:row>
      <xdr:rowOff>76200</xdr:rowOff>
    </xdr:to>
    <xdr:sp>
      <xdr:nvSpPr>
        <xdr:cNvPr id="40" name="Line 40"/>
        <xdr:cNvSpPr>
          <a:spLocks/>
        </xdr:cNvSpPr>
      </xdr:nvSpPr>
      <xdr:spPr>
        <a:xfrm flipH="1">
          <a:off x="6429375" y="1092517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61</xdr:row>
      <xdr:rowOff>9525</xdr:rowOff>
    </xdr:from>
    <xdr:to>
      <xdr:col>18</xdr:col>
      <xdr:colOff>47625</xdr:colOff>
      <xdr:row>66</xdr:row>
      <xdr:rowOff>104775</xdr:rowOff>
    </xdr:to>
    <xdr:sp>
      <xdr:nvSpPr>
        <xdr:cNvPr id="41" name="Rectangle 41"/>
        <xdr:cNvSpPr>
          <a:spLocks/>
        </xdr:cNvSpPr>
      </xdr:nvSpPr>
      <xdr:spPr>
        <a:xfrm>
          <a:off x="8134350" y="9953625"/>
          <a:ext cx="666750" cy="9048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61</xdr:row>
      <xdr:rowOff>57150</xdr:rowOff>
    </xdr:from>
    <xdr:to>
      <xdr:col>18</xdr:col>
      <xdr:colOff>28575</xdr:colOff>
      <xdr:row>67</xdr:row>
      <xdr:rowOff>104775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153400" y="10001250"/>
          <a:ext cx="6286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NH3 Absorber</a:t>
          </a:r>
        </a:p>
      </xdr:txBody>
    </xdr:sp>
    <xdr:clientData/>
  </xdr:twoCellAnchor>
  <xdr:twoCellAnchor>
    <xdr:from>
      <xdr:col>10</xdr:col>
      <xdr:colOff>200025</xdr:colOff>
      <xdr:row>66</xdr:row>
      <xdr:rowOff>85725</xdr:rowOff>
    </xdr:from>
    <xdr:to>
      <xdr:col>15</xdr:col>
      <xdr:colOff>66675</xdr:colOff>
      <xdr:row>66</xdr:row>
      <xdr:rowOff>85725</xdr:rowOff>
    </xdr:to>
    <xdr:sp>
      <xdr:nvSpPr>
        <xdr:cNvPr id="43" name="Line 43"/>
        <xdr:cNvSpPr>
          <a:spLocks/>
        </xdr:cNvSpPr>
      </xdr:nvSpPr>
      <xdr:spPr>
        <a:xfrm flipV="1">
          <a:off x="7124700" y="10839450"/>
          <a:ext cx="10096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61</xdr:row>
      <xdr:rowOff>66675</xdr:rowOff>
    </xdr:from>
    <xdr:to>
      <xdr:col>11</xdr:col>
      <xdr:colOff>19050</xdr:colOff>
      <xdr:row>66</xdr:row>
      <xdr:rowOff>133350</xdr:rowOff>
    </xdr:to>
    <xdr:sp>
      <xdr:nvSpPr>
        <xdr:cNvPr id="44" name="AutoShape 44"/>
        <xdr:cNvSpPr>
          <a:spLocks/>
        </xdr:cNvSpPr>
      </xdr:nvSpPr>
      <xdr:spPr>
        <a:xfrm>
          <a:off x="6838950" y="10010775"/>
          <a:ext cx="333375" cy="876300"/>
        </a:xfrm>
        <a:custGeom>
          <a:pathLst>
            <a:path h="92" w="35">
              <a:moveTo>
                <a:pt x="35" y="0"/>
              </a:moveTo>
              <a:lnTo>
                <a:pt x="0" y="92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61</xdr:row>
      <xdr:rowOff>76200</xdr:rowOff>
    </xdr:from>
    <xdr:to>
      <xdr:col>15</xdr:col>
      <xdr:colOff>57150</xdr:colOff>
      <xdr:row>61</xdr:row>
      <xdr:rowOff>85725</xdr:rowOff>
    </xdr:to>
    <xdr:sp>
      <xdr:nvSpPr>
        <xdr:cNvPr id="45" name="AutoShape 45"/>
        <xdr:cNvSpPr>
          <a:spLocks/>
        </xdr:cNvSpPr>
      </xdr:nvSpPr>
      <xdr:spPr>
        <a:xfrm>
          <a:off x="7410450" y="10020300"/>
          <a:ext cx="714375" cy="9525"/>
        </a:xfrm>
        <a:custGeom>
          <a:pathLst>
            <a:path h="1" w="75">
              <a:moveTo>
                <a:pt x="75" y="0"/>
              </a:moveTo>
              <a:lnTo>
                <a:pt x="0" y="0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66675</xdr:rowOff>
    </xdr:from>
    <xdr:to>
      <xdr:col>8</xdr:col>
      <xdr:colOff>9525</xdr:colOff>
      <xdr:row>69</xdr:row>
      <xdr:rowOff>76200</xdr:rowOff>
    </xdr:to>
    <xdr:sp>
      <xdr:nvSpPr>
        <xdr:cNvPr id="46" name="AutoShape 46"/>
        <xdr:cNvSpPr>
          <a:spLocks/>
        </xdr:cNvSpPr>
      </xdr:nvSpPr>
      <xdr:spPr>
        <a:xfrm>
          <a:off x="5981700" y="11306175"/>
          <a:ext cx="457200" cy="9525"/>
        </a:xfrm>
        <a:custGeom>
          <a:pathLst>
            <a:path h="1" w="48">
              <a:moveTo>
                <a:pt x="48" y="0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61</xdr:row>
      <xdr:rowOff>76200</xdr:rowOff>
    </xdr:from>
    <xdr:to>
      <xdr:col>12</xdr:col>
      <xdr:colOff>123825</xdr:colOff>
      <xdr:row>61</xdr:row>
      <xdr:rowOff>85725</xdr:rowOff>
    </xdr:to>
    <xdr:sp>
      <xdr:nvSpPr>
        <xdr:cNvPr id="47" name="AutoShape 47"/>
        <xdr:cNvSpPr>
          <a:spLocks/>
        </xdr:cNvSpPr>
      </xdr:nvSpPr>
      <xdr:spPr>
        <a:xfrm>
          <a:off x="7181850" y="10020300"/>
          <a:ext cx="323850" cy="9525"/>
        </a:xfrm>
        <a:custGeom>
          <a:pathLst>
            <a:path h="1" w="34">
              <a:moveTo>
                <a:pt x="34" y="0"/>
              </a:moveTo>
              <a:lnTo>
                <a:pt x="0" y="0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61</xdr:row>
      <xdr:rowOff>66675</xdr:rowOff>
    </xdr:from>
    <xdr:to>
      <xdr:col>10</xdr:col>
      <xdr:colOff>47625</xdr:colOff>
      <xdr:row>63</xdr:row>
      <xdr:rowOff>152400</xdr:rowOff>
    </xdr:to>
    <xdr:sp>
      <xdr:nvSpPr>
        <xdr:cNvPr id="48" name="AutoShape 48"/>
        <xdr:cNvSpPr>
          <a:spLocks/>
        </xdr:cNvSpPr>
      </xdr:nvSpPr>
      <xdr:spPr>
        <a:xfrm>
          <a:off x="6838950" y="10010775"/>
          <a:ext cx="133350" cy="409575"/>
        </a:xfrm>
        <a:custGeom>
          <a:pathLst>
            <a:path h="43" w="14">
              <a:moveTo>
                <a:pt x="0" y="0"/>
              </a:moveTo>
              <a:lnTo>
                <a:pt x="14" y="43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64</xdr:row>
      <xdr:rowOff>104775</xdr:rowOff>
    </xdr:from>
    <xdr:to>
      <xdr:col>10</xdr:col>
      <xdr:colOff>209550</xdr:colOff>
      <xdr:row>66</xdr:row>
      <xdr:rowOff>85725</xdr:rowOff>
    </xdr:to>
    <xdr:sp>
      <xdr:nvSpPr>
        <xdr:cNvPr id="49" name="AutoShape 49"/>
        <xdr:cNvSpPr>
          <a:spLocks/>
        </xdr:cNvSpPr>
      </xdr:nvSpPr>
      <xdr:spPr>
        <a:xfrm>
          <a:off x="7029450" y="10534650"/>
          <a:ext cx="104775" cy="304800"/>
        </a:xfrm>
        <a:custGeom>
          <a:pathLst>
            <a:path h="32" w="11">
              <a:moveTo>
                <a:pt x="0" y="0"/>
              </a:moveTo>
              <a:lnTo>
                <a:pt x="11" y="32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114300</xdr:rowOff>
    </xdr:from>
    <xdr:to>
      <xdr:col>8</xdr:col>
      <xdr:colOff>9525</xdr:colOff>
      <xdr:row>37</xdr:row>
      <xdr:rowOff>66675</xdr:rowOff>
    </xdr:to>
    <xdr:sp>
      <xdr:nvSpPr>
        <xdr:cNvPr id="50" name="AutoShape 50"/>
        <xdr:cNvSpPr>
          <a:spLocks/>
        </xdr:cNvSpPr>
      </xdr:nvSpPr>
      <xdr:spPr>
        <a:xfrm>
          <a:off x="6429375" y="4457700"/>
          <a:ext cx="9525" cy="1752600"/>
        </a:xfrm>
        <a:custGeom>
          <a:pathLst>
            <a:path h="184" w="1">
              <a:moveTo>
                <a:pt x="0" y="0"/>
              </a:moveTo>
              <a:lnTo>
                <a:pt x="0" y="184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68</xdr:row>
      <xdr:rowOff>114300</xdr:rowOff>
    </xdr:from>
    <xdr:to>
      <xdr:col>20</xdr:col>
      <xdr:colOff>76200</xdr:colOff>
      <xdr:row>68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8629650" y="11191875"/>
          <a:ext cx="657225" cy="0"/>
        </a:xfrm>
        <a:prstGeom prst="line">
          <a:avLst/>
        </a:prstGeom>
        <a:noFill/>
        <a:ln w="38100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66</xdr:row>
      <xdr:rowOff>104775</xdr:rowOff>
    </xdr:from>
    <xdr:to>
      <xdr:col>17</xdr:col>
      <xdr:colOff>104775</xdr:colOff>
      <xdr:row>68</xdr:row>
      <xdr:rowOff>123825</xdr:rowOff>
    </xdr:to>
    <xdr:sp>
      <xdr:nvSpPr>
        <xdr:cNvPr id="52" name="AutoShape 52"/>
        <xdr:cNvSpPr>
          <a:spLocks/>
        </xdr:cNvSpPr>
      </xdr:nvSpPr>
      <xdr:spPr>
        <a:xfrm>
          <a:off x="8620125" y="10858500"/>
          <a:ext cx="9525" cy="342900"/>
        </a:xfrm>
        <a:custGeom>
          <a:pathLst>
            <a:path h="36" w="1">
              <a:moveTo>
                <a:pt x="0" y="36"/>
              </a:moveTo>
              <a:lnTo>
                <a:pt x="0" y="0"/>
              </a:lnTo>
            </a:path>
          </a:pathLst>
        </a:custGeom>
        <a:noFill/>
        <a:ln w="3810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323850</xdr:colOff>
      <xdr:row>14</xdr:row>
      <xdr:rowOff>152400</xdr:rowOff>
    </xdr:from>
    <xdr:to>
      <xdr:col>39</xdr:col>
      <xdr:colOff>323850</xdr:colOff>
      <xdr:row>18</xdr:row>
      <xdr:rowOff>142875</xdr:rowOff>
    </xdr:to>
    <xdr:sp>
      <xdr:nvSpPr>
        <xdr:cNvPr id="53" name="Line 53"/>
        <xdr:cNvSpPr>
          <a:spLocks/>
        </xdr:cNvSpPr>
      </xdr:nvSpPr>
      <xdr:spPr>
        <a:xfrm>
          <a:off x="16544925" y="2524125"/>
          <a:ext cx="0" cy="638175"/>
        </a:xfrm>
        <a:prstGeom prst="line">
          <a:avLst/>
        </a:prstGeom>
        <a:noFill/>
        <a:ln w="31750" cmpd="sng">
          <a:solidFill>
            <a:srgbClr val="FF6600"/>
          </a:solidFill>
          <a:prstDash val="sysDash"/>
          <a:headEnd type="none"/>
          <a:tailEnd type="stealth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5</xdr:row>
      <xdr:rowOff>19050</xdr:rowOff>
    </xdr:from>
    <xdr:to>
      <xdr:col>14</xdr:col>
      <xdr:colOff>200025</xdr:colOff>
      <xdr:row>8</xdr:row>
      <xdr:rowOff>152400</xdr:rowOff>
    </xdr:to>
    <xdr:sp>
      <xdr:nvSpPr>
        <xdr:cNvPr id="54" name="AutoShape 54"/>
        <xdr:cNvSpPr>
          <a:spLocks/>
        </xdr:cNvSpPr>
      </xdr:nvSpPr>
      <xdr:spPr>
        <a:xfrm>
          <a:off x="8029575" y="933450"/>
          <a:ext cx="9525" cy="695325"/>
        </a:xfrm>
        <a:custGeom>
          <a:pathLst>
            <a:path h="73" w="1">
              <a:moveTo>
                <a:pt x="0" y="0"/>
              </a:moveTo>
              <a:lnTo>
                <a:pt x="0" y="73"/>
              </a:lnTo>
            </a:path>
          </a:pathLst>
        </a:custGeom>
        <a:noFill/>
        <a:ln w="31750" cmpd="sng">
          <a:solidFill>
            <a:srgbClr val="FF6600"/>
          </a:solidFill>
          <a:prstDash val="sysDash"/>
          <a:headEnd type="none"/>
          <a:tailEnd type="stealth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19050</xdr:colOff>
      <xdr:row>139</xdr:row>
      <xdr:rowOff>19050</xdr:rowOff>
    </xdr:from>
    <xdr:to>
      <xdr:col>36</xdr:col>
      <xdr:colOff>19050</xdr:colOff>
      <xdr:row>141</xdr:row>
      <xdr:rowOff>85725</xdr:rowOff>
    </xdr:to>
    <xdr:sp>
      <xdr:nvSpPr>
        <xdr:cNvPr id="55" name="Line 55"/>
        <xdr:cNvSpPr>
          <a:spLocks/>
        </xdr:cNvSpPr>
      </xdr:nvSpPr>
      <xdr:spPr>
        <a:xfrm flipH="1">
          <a:off x="14411325" y="2277427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247650</xdr:colOff>
      <xdr:row>139</xdr:row>
      <xdr:rowOff>19050</xdr:rowOff>
    </xdr:from>
    <xdr:to>
      <xdr:col>36</xdr:col>
      <xdr:colOff>247650</xdr:colOff>
      <xdr:row>141</xdr:row>
      <xdr:rowOff>85725</xdr:rowOff>
    </xdr:to>
    <xdr:sp>
      <xdr:nvSpPr>
        <xdr:cNvPr id="56" name="Line 56"/>
        <xdr:cNvSpPr>
          <a:spLocks/>
        </xdr:cNvSpPr>
      </xdr:nvSpPr>
      <xdr:spPr>
        <a:xfrm flipH="1">
          <a:off x="14639925" y="2277427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400050</xdr:colOff>
      <xdr:row>139</xdr:row>
      <xdr:rowOff>19050</xdr:rowOff>
    </xdr:from>
    <xdr:to>
      <xdr:col>35</xdr:col>
      <xdr:colOff>400050</xdr:colOff>
      <xdr:row>141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4182725" y="2277427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137</xdr:row>
      <xdr:rowOff>123825</xdr:rowOff>
    </xdr:from>
    <xdr:to>
      <xdr:col>35</xdr:col>
      <xdr:colOff>133350</xdr:colOff>
      <xdr:row>140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13916025" y="22555200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590550</xdr:colOff>
      <xdr:row>147</xdr:row>
      <xdr:rowOff>152400</xdr:rowOff>
    </xdr:from>
    <xdr:to>
      <xdr:col>35</xdr:col>
      <xdr:colOff>590550</xdr:colOff>
      <xdr:row>150</xdr:row>
      <xdr:rowOff>57150</xdr:rowOff>
    </xdr:to>
    <xdr:sp>
      <xdr:nvSpPr>
        <xdr:cNvPr id="59" name="Line 59"/>
        <xdr:cNvSpPr>
          <a:spLocks/>
        </xdr:cNvSpPr>
      </xdr:nvSpPr>
      <xdr:spPr>
        <a:xfrm flipH="1">
          <a:off x="14373225" y="2420302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147</xdr:row>
      <xdr:rowOff>152400</xdr:rowOff>
    </xdr:from>
    <xdr:to>
      <xdr:col>36</xdr:col>
      <xdr:colOff>0</xdr:colOff>
      <xdr:row>150</xdr:row>
      <xdr:rowOff>57150</xdr:rowOff>
    </xdr:to>
    <xdr:sp>
      <xdr:nvSpPr>
        <xdr:cNvPr id="60" name="Line 60"/>
        <xdr:cNvSpPr>
          <a:spLocks/>
        </xdr:cNvSpPr>
      </xdr:nvSpPr>
      <xdr:spPr>
        <a:xfrm flipH="1">
          <a:off x="14392275" y="2420302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66</xdr:row>
      <xdr:rowOff>114300</xdr:rowOff>
    </xdr:from>
    <xdr:to>
      <xdr:col>16</xdr:col>
      <xdr:colOff>9525</xdr:colOff>
      <xdr:row>71</xdr:row>
      <xdr:rowOff>28575</xdr:rowOff>
    </xdr:to>
    <xdr:sp>
      <xdr:nvSpPr>
        <xdr:cNvPr id="61" name="AutoShape 61"/>
        <xdr:cNvSpPr>
          <a:spLocks/>
        </xdr:cNvSpPr>
      </xdr:nvSpPr>
      <xdr:spPr>
        <a:xfrm>
          <a:off x="8296275" y="10868025"/>
          <a:ext cx="9525" cy="752475"/>
        </a:xfrm>
        <a:custGeom>
          <a:pathLst>
            <a:path h="79" w="1">
              <a:moveTo>
                <a:pt x="0" y="0"/>
              </a:moveTo>
              <a:lnTo>
                <a:pt x="0" y="79"/>
              </a:lnTo>
            </a:path>
          </a:pathLst>
        </a:custGeom>
        <a:noFill/>
        <a:ln w="44450" cmpd="sng">
          <a:solidFill>
            <a:srgbClr val="808080"/>
          </a:solidFill>
          <a:prstDash val="dash"/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60</xdr:row>
      <xdr:rowOff>0</xdr:rowOff>
    </xdr:from>
    <xdr:to>
      <xdr:col>15</xdr:col>
      <xdr:colOff>180975</xdr:colOff>
      <xdr:row>60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7677150" y="9782175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419100</xdr:colOff>
      <xdr:row>127</xdr:row>
      <xdr:rowOff>123825</xdr:rowOff>
    </xdr:from>
    <xdr:to>
      <xdr:col>33</xdr:col>
      <xdr:colOff>419100</xdr:colOff>
      <xdr:row>130</xdr:row>
      <xdr:rowOff>28575</xdr:rowOff>
    </xdr:to>
    <xdr:sp>
      <xdr:nvSpPr>
        <xdr:cNvPr id="63" name="Line 63"/>
        <xdr:cNvSpPr>
          <a:spLocks/>
        </xdr:cNvSpPr>
      </xdr:nvSpPr>
      <xdr:spPr>
        <a:xfrm flipH="1">
          <a:off x="12982575" y="20935950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419100</xdr:colOff>
      <xdr:row>127</xdr:row>
      <xdr:rowOff>123825</xdr:rowOff>
    </xdr:from>
    <xdr:to>
      <xdr:col>33</xdr:col>
      <xdr:colOff>419100</xdr:colOff>
      <xdr:row>130</xdr:row>
      <xdr:rowOff>28575</xdr:rowOff>
    </xdr:to>
    <xdr:sp>
      <xdr:nvSpPr>
        <xdr:cNvPr id="64" name="Line 64"/>
        <xdr:cNvSpPr>
          <a:spLocks/>
        </xdr:cNvSpPr>
      </xdr:nvSpPr>
      <xdr:spPr>
        <a:xfrm flipH="1">
          <a:off x="12982575" y="20935950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419100</xdr:colOff>
      <xdr:row>127</xdr:row>
      <xdr:rowOff>123825</xdr:rowOff>
    </xdr:from>
    <xdr:to>
      <xdr:col>33</xdr:col>
      <xdr:colOff>419100</xdr:colOff>
      <xdr:row>130</xdr:row>
      <xdr:rowOff>28575</xdr:rowOff>
    </xdr:to>
    <xdr:sp>
      <xdr:nvSpPr>
        <xdr:cNvPr id="65" name="Line 65"/>
        <xdr:cNvSpPr>
          <a:spLocks/>
        </xdr:cNvSpPr>
      </xdr:nvSpPr>
      <xdr:spPr>
        <a:xfrm flipH="1">
          <a:off x="12982575" y="20935950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333375</xdr:colOff>
      <xdr:row>127</xdr:row>
      <xdr:rowOff>123825</xdr:rowOff>
    </xdr:from>
    <xdr:to>
      <xdr:col>33</xdr:col>
      <xdr:colOff>333375</xdr:colOff>
      <xdr:row>130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12896850" y="20935950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61</xdr:row>
      <xdr:rowOff>38100</xdr:rowOff>
    </xdr:to>
    <xdr:sp>
      <xdr:nvSpPr>
        <xdr:cNvPr id="67" name="Line 67"/>
        <xdr:cNvSpPr>
          <a:spLocks/>
        </xdr:cNvSpPr>
      </xdr:nvSpPr>
      <xdr:spPr>
        <a:xfrm>
          <a:off x="6429375" y="9620250"/>
          <a:ext cx="0" cy="361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6</xdr:col>
      <xdr:colOff>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972175" y="381000"/>
          <a:ext cx="0" cy="838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</xdr:row>
      <xdr:rowOff>0</xdr:rowOff>
    </xdr:from>
    <xdr:to>
      <xdr:col>8</xdr:col>
      <xdr:colOff>0</xdr:colOff>
      <xdr:row>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6419850" y="161925"/>
          <a:ext cx="9525" cy="1133475"/>
        </a:xfrm>
        <a:custGeom>
          <a:pathLst>
            <a:path h="119" w="1">
              <a:moveTo>
                <a:pt x="0" y="0"/>
              </a:moveTo>
              <a:lnTo>
                <a:pt x="0" y="119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5</xdr:row>
      <xdr:rowOff>152400</xdr:rowOff>
    </xdr:from>
    <xdr:to>
      <xdr:col>11</xdr:col>
      <xdr:colOff>38100</xdr:colOff>
      <xdr:row>5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6467475" y="106680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57150</xdr:rowOff>
    </xdr:from>
    <xdr:to>
      <xdr:col>10</xdr:col>
      <xdr:colOff>95250</xdr:colOff>
      <xdr:row>5</xdr:row>
      <xdr:rowOff>57150</xdr:rowOff>
    </xdr:to>
    <xdr:sp>
      <xdr:nvSpPr>
        <xdr:cNvPr id="4" name="Line 4"/>
        <xdr:cNvSpPr>
          <a:spLocks/>
        </xdr:cNvSpPr>
      </xdr:nvSpPr>
      <xdr:spPr>
        <a:xfrm flipH="1">
          <a:off x="6438900" y="97155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18</xdr:row>
      <xdr:rowOff>152400</xdr:rowOff>
    </xdr:from>
    <xdr:to>
      <xdr:col>8</xdr:col>
      <xdr:colOff>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419850" y="3171825"/>
          <a:ext cx="9525" cy="333375"/>
        </a:xfrm>
        <a:custGeom>
          <a:pathLst>
            <a:path h="35" w="1">
              <a:moveTo>
                <a:pt x="0" y="0"/>
              </a:moveTo>
              <a:lnTo>
                <a:pt x="0" y="35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9</xdr:row>
      <xdr:rowOff>19050</xdr:rowOff>
    </xdr:from>
    <xdr:to>
      <xdr:col>8</xdr:col>
      <xdr:colOff>0</xdr:colOff>
      <xdr:row>11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6419850" y="1657350"/>
          <a:ext cx="9525" cy="304800"/>
        </a:xfrm>
        <a:custGeom>
          <a:pathLst>
            <a:path h="42" w="1">
              <a:moveTo>
                <a:pt x="0" y="0"/>
              </a:moveTo>
              <a:lnTo>
                <a:pt x="0" y="42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</xdr:row>
      <xdr:rowOff>0</xdr:rowOff>
    </xdr:from>
    <xdr:to>
      <xdr:col>7</xdr:col>
      <xdr:colOff>209550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6410325" y="2371725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133350</xdr:rowOff>
    </xdr:from>
    <xdr:to>
      <xdr:col>8</xdr:col>
      <xdr:colOff>9525</xdr:colOff>
      <xdr:row>26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6429375" y="3800475"/>
          <a:ext cx="9525" cy="695325"/>
        </a:xfrm>
        <a:custGeom>
          <a:pathLst>
            <a:path h="73" w="1">
              <a:moveTo>
                <a:pt x="0" y="0"/>
              </a:moveTo>
              <a:lnTo>
                <a:pt x="0" y="73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18</xdr:row>
      <xdr:rowOff>152400</xdr:rowOff>
    </xdr:from>
    <xdr:to>
      <xdr:col>13</xdr:col>
      <xdr:colOff>142875</xdr:colOff>
      <xdr:row>19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029450" y="3171825"/>
          <a:ext cx="723900" cy="9525"/>
        </a:xfrm>
        <a:custGeom>
          <a:pathLst>
            <a:path h="1" w="76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7</xdr:row>
      <xdr:rowOff>57150</xdr:rowOff>
    </xdr:from>
    <xdr:to>
      <xdr:col>10</xdr:col>
      <xdr:colOff>123825</xdr:colOff>
      <xdr:row>9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6191250" y="1295400"/>
          <a:ext cx="857250" cy="3619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11</xdr:row>
      <xdr:rowOff>95250</xdr:rowOff>
    </xdr:from>
    <xdr:to>
      <xdr:col>10</xdr:col>
      <xdr:colOff>142875</xdr:colOff>
      <xdr:row>13</xdr:row>
      <xdr:rowOff>152400</xdr:rowOff>
    </xdr:to>
    <xdr:sp>
      <xdr:nvSpPr>
        <xdr:cNvPr id="11" name="Rectangle 11"/>
        <xdr:cNvSpPr>
          <a:spLocks/>
        </xdr:cNvSpPr>
      </xdr:nvSpPr>
      <xdr:spPr>
        <a:xfrm>
          <a:off x="6191250" y="1962150"/>
          <a:ext cx="876300" cy="4000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9525</xdr:rowOff>
    </xdr:from>
    <xdr:to>
      <xdr:col>10</xdr:col>
      <xdr:colOff>180975</xdr:colOff>
      <xdr:row>18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6219825" y="2867025"/>
          <a:ext cx="885825" cy="3048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19050</xdr:rowOff>
    </xdr:from>
    <xdr:to>
      <xdr:col>10</xdr:col>
      <xdr:colOff>219075</xdr:colOff>
      <xdr:row>22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6210300" y="3524250"/>
          <a:ext cx="933450" cy="2857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114300</xdr:colOff>
      <xdr:row>7</xdr:row>
      <xdr:rowOff>114300</xdr:rowOff>
    </xdr:from>
    <xdr:ext cx="504825" cy="209550"/>
    <xdr:sp>
      <xdr:nvSpPr>
        <xdr:cNvPr id="14" name="TextBox 14"/>
        <xdr:cNvSpPr txBox="1">
          <a:spLocks noChangeArrowheads="1"/>
        </xdr:cNvSpPr>
      </xdr:nvSpPr>
      <xdr:spPr>
        <a:xfrm>
          <a:off x="6315075" y="1352550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Stripper</a:t>
          </a:r>
        </a:p>
      </xdr:txBody>
    </xdr:sp>
    <xdr:clientData/>
  </xdr:oneCellAnchor>
  <xdr:oneCellAnchor>
    <xdr:from>
      <xdr:col>7</xdr:col>
      <xdr:colOff>76200</xdr:colOff>
      <xdr:row>12</xdr:row>
      <xdr:rowOff>38100</xdr:rowOff>
    </xdr:from>
    <xdr:ext cx="771525" cy="209550"/>
    <xdr:sp>
      <xdr:nvSpPr>
        <xdr:cNvPr id="15" name="TextBox 15"/>
        <xdr:cNvSpPr txBox="1">
          <a:spLocks noChangeArrowheads="1"/>
        </xdr:cNvSpPr>
      </xdr:nvSpPr>
      <xdr:spPr>
        <a:xfrm>
          <a:off x="6276975" y="2000250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Precipitation</a:t>
          </a:r>
        </a:p>
      </xdr:txBody>
    </xdr:sp>
    <xdr:clientData/>
  </xdr:oneCellAnchor>
  <xdr:oneCellAnchor>
    <xdr:from>
      <xdr:col>7</xdr:col>
      <xdr:colOff>38100</xdr:colOff>
      <xdr:row>17</xdr:row>
      <xdr:rowOff>38100</xdr:rowOff>
    </xdr:from>
    <xdr:ext cx="866775" cy="209550"/>
    <xdr:sp>
      <xdr:nvSpPr>
        <xdr:cNvPr id="16" name="TextBox 16"/>
        <xdr:cNvSpPr txBox="1">
          <a:spLocks noChangeArrowheads="1"/>
        </xdr:cNvSpPr>
      </xdr:nvSpPr>
      <xdr:spPr>
        <a:xfrm>
          <a:off x="6238875" y="2895600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Sedimentation</a:t>
          </a:r>
        </a:p>
      </xdr:txBody>
    </xdr:sp>
    <xdr:clientData/>
  </xdr:oneCellAnchor>
  <xdr:oneCellAnchor>
    <xdr:from>
      <xdr:col>7</xdr:col>
      <xdr:colOff>114300</xdr:colOff>
      <xdr:row>21</xdr:row>
      <xdr:rowOff>76200</xdr:rowOff>
    </xdr:from>
    <xdr:ext cx="647700" cy="209550"/>
    <xdr:sp>
      <xdr:nvSpPr>
        <xdr:cNvPr id="17" name="TextBox 17"/>
        <xdr:cNvSpPr txBox="1">
          <a:spLocks noChangeArrowheads="1"/>
        </xdr:cNvSpPr>
      </xdr:nvSpPr>
      <xdr:spPr>
        <a:xfrm>
          <a:off x="6315075" y="358140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  filter</a:t>
          </a:r>
        </a:p>
      </xdr:txBody>
    </xdr:sp>
    <xdr:clientData/>
  </xdr:oneCellAnchor>
  <xdr:twoCellAnchor>
    <xdr:from>
      <xdr:col>7</xdr:col>
      <xdr:colOff>38100</xdr:colOff>
      <xdr:row>37</xdr:row>
      <xdr:rowOff>76200</xdr:rowOff>
    </xdr:from>
    <xdr:to>
      <xdr:col>11</xdr:col>
      <xdr:colOff>9525</xdr:colOff>
      <xdr:row>39</xdr:row>
      <xdr:rowOff>200025</xdr:rowOff>
    </xdr:to>
    <xdr:sp>
      <xdr:nvSpPr>
        <xdr:cNvPr id="18" name="Rectangle 18"/>
        <xdr:cNvSpPr>
          <a:spLocks/>
        </xdr:cNvSpPr>
      </xdr:nvSpPr>
      <xdr:spPr>
        <a:xfrm>
          <a:off x="6238875" y="6219825"/>
          <a:ext cx="923925" cy="4476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66675</xdr:rowOff>
    </xdr:from>
    <xdr:to>
      <xdr:col>11</xdr:col>
      <xdr:colOff>9525</xdr:colOff>
      <xdr:row>45</xdr:row>
      <xdr:rowOff>95250</xdr:rowOff>
    </xdr:to>
    <xdr:sp>
      <xdr:nvSpPr>
        <xdr:cNvPr id="19" name="Rectangle 19"/>
        <xdr:cNvSpPr>
          <a:spLocks/>
        </xdr:cNvSpPr>
      </xdr:nvSpPr>
      <xdr:spPr>
        <a:xfrm>
          <a:off x="6210300" y="7286625"/>
          <a:ext cx="952500" cy="3524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30</xdr:row>
      <xdr:rowOff>114300</xdr:rowOff>
    </xdr:from>
    <xdr:to>
      <xdr:col>16</xdr:col>
      <xdr:colOff>0</xdr:colOff>
      <xdr:row>35</xdr:row>
      <xdr:rowOff>123825</xdr:rowOff>
    </xdr:to>
    <xdr:sp>
      <xdr:nvSpPr>
        <xdr:cNvPr id="20" name="Rectangle 20"/>
        <xdr:cNvSpPr>
          <a:spLocks/>
        </xdr:cNvSpPr>
      </xdr:nvSpPr>
      <xdr:spPr>
        <a:xfrm>
          <a:off x="7772400" y="5105400"/>
          <a:ext cx="523875" cy="8191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31</xdr:row>
      <xdr:rowOff>28575</xdr:rowOff>
    </xdr:from>
    <xdr:to>
      <xdr:col>16</xdr:col>
      <xdr:colOff>47625</xdr:colOff>
      <xdr:row>35</xdr:row>
      <xdr:rowOff>85725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829550" y="5181600"/>
          <a:ext cx="514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Carbon
filter</a:t>
          </a:r>
        </a:p>
      </xdr:txBody>
    </xdr:sp>
    <xdr:clientData/>
  </xdr:twoCellAnchor>
  <xdr:twoCellAnchor>
    <xdr:from>
      <xdr:col>14</xdr:col>
      <xdr:colOff>0</xdr:colOff>
      <xdr:row>35</xdr:row>
      <xdr:rowOff>142875</xdr:rowOff>
    </xdr:from>
    <xdr:to>
      <xdr:col>14</xdr:col>
      <xdr:colOff>9525</xdr:colOff>
      <xdr:row>37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7839075" y="5943600"/>
          <a:ext cx="9525" cy="314325"/>
        </a:xfrm>
        <a:custGeom>
          <a:pathLst>
            <a:path h="33" w="1">
              <a:moveTo>
                <a:pt x="0" y="33"/>
              </a:moveTo>
              <a:lnTo>
                <a:pt x="0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39</xdr:row>
      <xdr:rowOff>200025</xdr:rowOff>
    </xdr:from>
    <xdr:to>
      <xdr:col>7</xdr:col>
      <xdr:colOff>219075</xdr:colOff>
      <xdr:row>43</xdr:row>
      <xdr:rowOff>85725</xdr:rowOff>
    </xdr:to>
    <xdr:sp>
      <xdr:nvSpPr>
        <xdr:cNvPr id="23" name="AutoShape 23"/>
        <xdr:cNvSpPr>
          <a:spLocks/>
        </xdr:cNvSpPr>
      </xdr:nvSpPr>
      <xdr:spPr>
        <a:xfrm>
          <a:off x="6410325" y="6667500"/>
          <a:ext cx="9525" cy="638175"/>
        </a:xfrm>
        <a:custGeom>
          <a:pathLst>
            <a:path h="67" w="1">
              <a:moveTo>
                <a:pt x="0" y="0"/>
              </a:moveTo>
              <a:lnTo>
                <a:pt x="0" y="67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152400</xdr:colOff>
      <xdr:row>38</xdr:row>
      <xdr:rowOff>0</xdr:rowOff>
    </xdr:from>
    <xdr:ext cx="695325" cy="381000"/>
    <xdr:sp>
      <xdr:nvSpPr>
        <xdr:cNvPr id="24" name="TextBox 24"/>
        <xdr:cNvSpPr txBox="1">
          <a:spLocks noChangeArrowheads="1"/>
        </xdr:cNvSpPr>
      </xdr:nvSpPr>
      <xdr:spPr>
        <a:xfrm>
          <a:off x="6353175" y="630555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Heat exch.</a:t>
          </a:r>
        </a:p>
      </xdr:txBody>
    </xdr:sp>
    <xdr:clientData/>
  </xdr:oneCellAnchor>
  <xdr:oneCellAnchor>
    <xdr:from>
      <xdr:col>7</xdr:col>
      <xdr:colOff>76200</xdr:colOff>
      <xdr:row>43</xdr:row>
      <xdr:rowOff>152400</xdr:rowOff>
    </xdr:from>
    <xdr:ext cx="485775" cy="209550"/>
    <xdr:sp>
      <xdr:nvSpPr>
        <xdr:cNvPr id="25" name="TextBox 25"/>
        <xdr:cNvSpPr txBox="1">
          <a:spLocks noChangeArrowheads="1"/>
        </xdr:cNvSpPr>
      </xdr:nvSpPr>
      <xdr:spPr>
        <a:xfrm>
          <a:off x="6276975" y="737235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Heater.</a:t>
          </a:r>
        </a:p>
      </xdr:txBody>
    </xdr:sp>
    <xdr:clientData/>
  </xdr:oneCellAnchor>
  <xdr:twoCellAnchor>
    <xdr:from>
      <xdr:col>7</xdr:col>
      <xdr:colOff>171450</xdr:colOff>
      <xdr:row>45</xdr:row>
      <xdr:rowOff>104775</xdr:rowOff>
    </xdr:from>
    <xdr:to>
      <xdr:col>7</xdr:col>
      <xdr:colOff>180975</xdr:colOff>
      <xdr:row>52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6372225" y="7648575"/>
          <a:ext cx="9525" cy="1162050"/>
        </a:xfrm>
        <a:custGeom>
          <a:pathLst>
            <a:path h="111" w="1">
              <a:moveTo>
                <a:pt x="0" y="0"/>
              </a:moveTo>
              <a:lnTo>
                <a:pt x="0" y="111"/>
              </a:lnTo>
            </a:path>
          </a:pathLst>
        </a:cu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0</xdr:rowOff>
    </xdr:from>
    <xdr:to>
      <xdr:col>6</xdr:col>
      <xdr:colOff>19050</xdr:colOff>
      <xdr:row>69</xdr:row>
      <xdr:rowOff>76200</xdr:rowOff>
    </xdr:to>
    <xdr:sp>
      <xdr:nvSpPr>
        <xdr:cNvPr id="27" name="AutoShape 27"/>
        <xdr:cNvSpPr>
          <a:spLocks/>
        </xdr:cNvSpPr>
      </xdr:nvSpPr>
      <xdr:spPr>
        <a:xfrm>
          <a:off x="5981700" y="6467475"/>
          <a:ext cx="9525" cy="4848225"/>
        </a:xfrm>
        <a:custGeom>
          <a:pathLst>
            <a:path h="509" w="1">
              <a:moveTo>
                <a:pt x="0" y="509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0</xdr:rowOff>
    </xdr:from>
    <xdr:to>
      <xdr:col>7</xdr:col>
      <xdr:colOff>57150</xdr:colOff>
      <xdr:row>39</xdr:row>
      <xdr:rowOff>9525</xdr:rowOff>
    </xdr:to>
    <xdr:sp>
      <xdr:nvSpPr>
        <xdr:cNvPr id="28" name="AutoShape 28"/>
        <xdr:cNvSpPr>
          <a:spLocks/>
        </xdr:cNvSpPr>
      </xdr:nvSpPr>
      <xdr:spPr>
        <a:xfrm>
          <a:off x="5981700" y="6467475"/>
          <a:ext cx="276225" cy="9525"/>
        </a:xfrm>
        <a:custGeom>
          <a:pathLst>
            <a:path h="1" w="29">
              <a:moveTo>
                <a:pt x="0" y="1"/>
              </a:moveTo>
              <a:lnTo>
                <a:pt x="29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66675</xdr:rowOff>
    </xdr:from>
    <xdr:to>
      <xdr:col>14</xdr:col>
      <xdr:colOff>19050</xdr:colOff>
      <xdr:row>30</xdr:row>
      <xdr:rowOff>114300</xdr:rowOff>
    </xdr:to>
    <xdr:sp>
      <xdr:nvSpPr>
        <xdr:cNvPr id="29" name="AutoShape 29"/>
        <xdr:cNvSpPr>
          <a:spLocks/>
        </xdr:cNvSpPr>
      </xdr:nvSpPr>
      <xdr:spPr>
        <a:xfrm>
          <a:off x="7848600" y="4733925"/>
          <a:ext cx="9525" cy="371475"/>
        </a:xfrm>
        <a:custGeom>
          <a:pathLst>
            <a:path h="39" w="1">
              <a:moveTo>
                <a:pt x="0" y="39"/>
              </a:moveTo>
              <a:lnTo>
                <a:pt x="0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19050</xdr:rowOff>
    </xdr:from>
    <xdr:to>
      <xdr:col>6</xdr:col>
      <xdr:colOff>9525</xdr:colOff>
      <xdr:row>38</xdr:row>
      <xdr:rowOff>123825</xdr:rowOff>
    </xdr:to>
    <xdr:sp>
      <xdr:nvSpPr>
        <xdr:cNvPr id="30" name="AutoShape 30"/>
        <xdr:cNvSpPr>
          <a:spLocks/>
        </xdr:cNvSpPr>
      </xdr:nvSpPr>
      <xdr:spPr>
        <a:xfrm>
          <a:off x="5972175" y="5495925"/>
          <a:ext cx="9525" cy="933450"/>
        </a:xfrm>
        <a:custGeom>
          <a:pathLst>
            <a:path h="98" w="1">
              <a:moveTo>
                <a:pt x="0" y="0"/>
              </a:moveTo>
              <a:lnTo>
                <a:pt x="0" y="98"/>
              </a:lnTo>
            </a:path>
          </a:pathLst>
        </a:custGeom>
        <a:noFill/>
        <a:ln w="31750" cmpd="sng">
          <a:solidFill>
            <a:srgbClr val="FF6600"/>
          </a:solidFill>
          <a:prstDash val="sysDash"/>
          <a:headEnd type="none"/>
          <a:tailEnd type="stealth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24</xdr:row>
      <xdr:rowOff>19050</xdr:rowOff>
    </xdr:from>
    <xdr:to>
      <xdr:col>7</xdr:col>
      <xdr:colOff>200025</xdr:colOff>
      <xdr:row>24</xdr:row>
      <xdr:rowOff>28575</xdr:rowOff>
    </xdr:to>
    <xdr:sp>
      <xdr:nvSpPr>
        <xdr:cNvPr id="31" name="Line 31"/>
        <xdr:cNvSpPr>
          <a:spLocks/>
        </xdr:cNvSpPr>
      </xdr:nvSpPr>
      <xdr:spPr>
        <a:xfrm flipV="1">
          <a:off x="5610225" y="4010025"/>
          <a:ext cx="790575" cy="9525"/>
        </a:xfrm>
        <a:prstGeom prst="line">
          <a:avLst/>
        </a:prstGeom>
        <a:noFill/>
        <a:ln w="31750" cmpd="sng">
          <a:solidFill>
            <a:srgbClr val="0000FF"/>
          </a:solidFill>
          <a:prstDash val="dash"/>
          <a:headEnd type="none"/>
          <a:tailEnd type="arrow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12</xdr:row>
      <xdr:rowOff>85725</xdr:rowOff>
    </xdr:from>
    <xdr:to>
      <xdr:col>6</xdr:col>
      <xdr:colOff>209550</xdr:colOff>
      <xdr:row>12</xdr:row>
      <xdr:rowOff>95250</xdr:rowOff>
    </xdr:to>
    <xdr:sp>
      <xdr:nvSpPr>
        <xdr:cNvPr id="32" name="AutoShape 32"/>
        <xdr:cNvSpPr>
          <a:spLocks/>
        </xdr:cNvSpPr>
      </xdr:nvSpPr>
      <xdr:spPr>
        <a:xfrm>
          <a:off x="5629275" y="2047875"/>
          <a:ext cx="552450" cy="9525"/>
        </a:xfrm>
        <a:custGeom>
          <a:pathLst>
            <a:path h="1" w="58">
              <a:moveTo>
                <a:pt x="0" y="0"/>
              </a:moveTo>
              <a:lnTo>
                <a:pt x="58" y="0"/>
              </a:lnTo>
            </a:path>
          </a:pathLst>
        </a:custGeom>
        <a:noFill/>
        <a:ln w="31750" cmpd="sng">
          <a:solidFill>
            <a:srgbClr val="0000FF"/>
          </a:solidFill>
          <a:prstDash val="dash"/>
          <a:headEnd type="none"/>
          <a:tailEnd type="arrow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85725</xdr:rowOff>
    </xdr:from>
    <xdr:to>
      <xdr:col>4</xdr:col>
      <xdr:colOff>47625</xdr:colOff>
      <xdr:row>24</xdr:row>
      <xdr:rowOff>28575</xdr:rowOff>
    </xdr:to>
    <xdr:sp>
      <xdr:nvSpPr>
        <xdr:cNvPr id="33" name="Line 33"/>
        <xdr:cNvSpPr>
          <a:spLocks/>
        </xdr:cNvSpPr>
      </xdr:nvSpPr>
      <xdr:spPr>
        <a:xfrm>
          <a:off x="5610225" y="447675"/>
          <a:ext cx="9525" cy="3571875"/>
        </a:xfrm>
        <a:prstGeom prst="line">
          <a:avLst/>
        </a:prstGeom>
        <a:noFill/>
        <a:ln w="317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12</xdr:row>
      <xdr:rowOff>0</xdr:rowOff>
    </xdr:from>
    <xdr:to>
      <xdr:col>14</xdr:col>
      <xdr:colOff>123825</xdr:colOff>
      <xdr:row>12</xdr:row>
      <xdr:rowOff>9525</xdr:rowOff>
    </xdr:to>
    <xdr:sp>
      <xdr:nvSpPr>
        <xdr:cNvPr id="34" name="AutoShape 34"/>
        <xdr:cNvSpPr>
          <a:spLocks/>
        </xdr:cNvSpPr>
      </xdr:nvSpPr>
      <xdr:spPr>
        <a:xfrm>
          <a:off x="7077075" y="1962150"/>
          <a:ext cx="885825" cy="9525"/>
        </a:xfrm>
        <a:custGeom>
          <a:pathLst>
            <a:path h="1" w="93">
              <a:moveTo>
                <a:pt x="93" y="0"/>
              </a:moveTo>
              <a:lnTo>
                <a:pt x="0" y="0"/>
              </a:lnTo>
            </a:path>
          </a:pathLst>
        </a:custGeom>
        <a:noFill/>
        <a:ln w="28575" cmpd="sng">
          <a:solidFill>
            <a:srgbClr val="339966"/>
          </a:solidFill>
          <a:headEnd type="none"/>
          <a:tailEnd type="arrow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17</xdr:col>
      <xdr:colOff>0</xdr:colOff>
      <xdr:row>5</xdr:row>
      <xdr:rowOff>9525</xdr:rowOff>
    </xdr:to>
    <xdr:sp>
      <xdr:nvSpPr>
        <xdr:cNvPr id="35" name="AutoShape 35"/>
        <xdr:cNvSpPr>
          <a:spLocks/>
        </xdr:cNvSpPr>
      </xdr:nvSpPr>
      <xdr:spPr>
        <a:xfrm>
          <a:off x="6429375" y="914400"/>
          <a:ext cx="2095500" cy="9525"/>
        </a:xfrm>
        <a:custGeom>
          <a:pathLst>
            <a:path h="1" w="220">
              <a:moveTo>
                <a:pt x="220" y="0"/>
              </a:moveTo>
              <a:lnTo>
                <a:pt x="0" y="0"/>
              </a:lnTo>
            </a:path>
          </a:pathLst>
        </a:custGeom>
        <a:noFill/>
        <a:ln w="31750" cmpd="sng">
          <a:solidFill>
            <a:srgbClr val="FF6600"/>
          </a:solidFill>
          <a:prstDash val="sysDash"/>
          <a:headEnd type="stealth"/>
          <a:tailEnd type="stealth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</xdr:row>
      <xdr:rowOff>28575</xdr:rowOff>
    </xdr:from>
    <xdr:to>
      <xdr:col>14</xdr:col>
      <xdr:colOff>0</xdr:colOff>
      <xdr:row>5</xdr:row>
      <xdr:rowOff>9525</xdr:rowOff>
    </xdr:to>
    <xdr:sp>
      <xdr:nvSpPr>
        <xdr:cNvPr id="36" name="AutoShape 36"/>
        <xdr:cNvSpPr>
          <a:spLocks/>
        </xdr:cNvSpPr>
      </xdr:nvSpPr>
      <xdr:spPr>
        <a:xfrm>
          <a:off x="7829550" y="190500"/>
          <a:ext cx="9525" cy="733425"/>
        </a:xfrm>
        <a:custGeom>
          <a:pathLst>
            <a:path h="77" w="1">
              <a:moveTo>
                <a:pt x="0" y="0"/>
              </a:moveTo>
              <a:lnTo>
                <a:pt x="0" y="77"/>
              </a:lnTo>
            </a:path>
          </a:pathLst>
        </a:custGeom>
        <a:noFill/>
        <a:ln w="38100" cmpd="sng">
          <a:solidFill>
            <a:srgbClr val="FF6600"/>
          </a:solidFill>
          <a:prstDash val="sysDash"/>
          <a:headEnd type="none"/>
          <a:tailEnd type="stealth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37</xdr:row>
      <xdr:rowOff>114300</xdr:rowOff>
    </xdr:from>
    <xdr:to>
      <xdr:col>14</xdr:col>
      <xdr:colOff>19050</xdr:colOff>
      <xdr:row>37</xdr:row>
      <xdr:rowOff>123825</xdr:rowOff>
    </xdr:to>
    <xdr:sp>
      <xdr:nvSpPr>
        <xdr:cNvPr id="37" name="AutoShape 37"/>
        <xdr:cNvSpPr>
          <a:spLocks/>
        </xdr:cNvSpPr>
      </xdr:nvSpPr>
      <xdr:spPr>
        <a:xfrm>
          <a:off x="7162800" y="6257925"/>
          <a:ext cx="695325" cy="9525"/>
        </a:xfrm>
        <a:custGeom>
          <a:pathLst>
            <a:path h="1" w="73">
              <a:moveTo>
                <a:pt x="0" y="0"/>
              </a:moveTo>
              <a:lnTo>
                <a:pt x="73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61</xdr:row>
      <xdr:rowOff>47625</xdr:rowOff>
    </xdr:from>
    <xdr:to>
      <xdr:col>9</xdr:col>
      <xdr:colOff>133350</xdr:colOff>
      <xdr:row>67</xdr:row>
      <xdr:rowOff>9525</xdr:rowOff>
    </xdr:to>
    <xdr:sp>
      <xdr:nvSpPr>
        <xdr:cNvPr id="38" name="Rectangle 38"/>
        <xdr:cNvSpPr>
          <a:spLocks/>
        </xdr:cNvSpPr>
      </xdr:nvSpPr>
      <xdr:spPr>
        <a:xfrm>
          <a:off x="6229350" y="9991725"/>
          <a:ext cx="600075" cy="9334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62</xdr:row>
      <xdr:rowOff>9525</xdr:rowOff>
    </xdr:from>
    <xdr:to>
      <xdr:col>9</xdr:col>
      <xdr:colOff>95250</xdr:colOff>
      <xdr:row>64</xdr:row>
      <xdr:rowOff>9525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238875" y="10115550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NH3 Stripper</a:t>
          </a:r>
        </a:p>
      </xdr:txBody>
    </xdr:sp>
    <xdr:clientData/>
  </xdr:twoCellAnchor>
  <xdr:twoCellAnchor>
    <xdr:from>
      <xdr:col>8</xdr:col>
      <xdr:colOff>0</xdr:colOff>
      <xdr:row>67</xdr:row>
      <xdr:rowOff>9525</xdr:rowOff>
    </xdr:from>
    <xdr:to>
      <xdr:col>8</xdr:col>
      <xdr:colOff>0</xdr:colOff>
      <xdr:row>69</xdr:row>
      <xdr:rowOff>76200</xdr:rowOff>
    </xdr:to>
    <xdr:sp>
      <xdr:nvSpPr>
        <xdr:cNvPr id="40" name="Line 40"/>
        <xdr:cNvSpPr>
          <a:spLocks/>
        </xdr:cNvSpPr>
      </xdr:nvSpPr>
      <xdr:spPr>
        <a:xfrm flipH="1">
          <a:off x="6429375" y="1092517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61</xdr:row>
      <xdr:rowOff>9525</xdr:rowOff>
    </xdr:from>
    <xdr:to>
      <xdr:col>18</xdr:col>
      <xdr:colOff>47625</xdr:colOff>
      <xdr:row>66</xdr:row>
      <xdr:rowOff>104775</xdr:rowOff>
    </xdr:to>
    <xdr:sp>
      <xdr:nvSpPr>
        <xdr:cNvPr id="41" name="Rectangle 41"/>
        <xdr:cNvSpPr>
          <a:spLocks/>
        </xdr:cNvSpPr>
      </xdr:nvSpPr>
      <xdr:spPr>
        <a:xfrm>
          <a:off x="8134350" y="9953625"/>
          <a:ext cx="666750" cy="9048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61</xdr:row>
      <xdr:rowOff>76200</xdr:rowOff>
    </xdr:from>
    <xdr:to>
      <xdr:col>18</xdr:col>
      <xdr:colOff>19050</xdr:colOff>
      <xdr:row>67</xdr:row>
      <xdr:rowOff>123825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143875" y="10020300"/>
          <a:ext cx="6286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NH3 Absorber</a:t>
          </a:r>
        </a:p>
      </xdr:txBody>
    </xdr:sp>
    <xdr:clientData/>
  </xdr:twoCellAnchor>
  <xdr:twoCellAnchor>
    <xdr:from>
      <xdr:col>10</xdr:col>
      <xdr:colOff>200025</xdr:colOff>
      <xdr:row>66</xdr:row>
      <xdr:rowOff>85725</xdr:rowOff>
    </xdr:from>
    <xdr:to>
      <xdr:col>15</xdr:col>
      <xdr:colOff>66675</xdr:colOff>
      <xdr:row>66</xdr:row>
      <xdr:rowOff>85725</xdr:rowOff>
    </xdr:to>
    <xdr:sp>
      <xdr:nvSpPr>
        <xdr:cNvPr id="43" name="Line 43"/>
        <xdr:cNvSpPr>
          <a:spLocks/>
        </xdr:cNvSpPr>
      </xdr:nvSpPr>
      <xdr:spPr>
        <a:xfrm flipV="1">
          <a:off x="7124700" y="10839450"/>
          <a:ext cx="10096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61</xdr:row>
      <xdr:rowOff>66675</xdr:rowOff>
    </xdr:from>
    <xdr:to>
      <xdr:col>11</xdr:col>
      <xdr:colOff>19050</xdr:colOff>
      <xdr:row>66</xdr:row>
      <xdr:rowOff>133350</xdr:rowOff>
    </xdr:to>
    <xdr:sp>
      <xdr:nvSpPr>
        <xdr:cNvPr id="44" name="AutoShape 44"/>
        <xdr:cNvSpPr>
          <a:spLocks/>
        </xdr:cNvSpPr>
      </xdr:nvSpPr>
      <xdr:spPr>
        <a:xfrm>
          <a:off x="6838950" y="10010775"/>
          <a:ext cx="333375" cy="876300"/>
        </a:xfrm>
        <a:custGeom>
          <a:pathLst>
            <a:path h="92" w="35">
              <a:moveTo>
                <a:pt x="35" y="0"/>
              </a:moveTo>
              <a:lnTo>
                <a:pt x="0" y="92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61</xdr:row>
      <xdr:rowOff>76200</xdr:rowOff>
    </xdr:from>
    <xdr:to>
      <xdr:col>15</xdr:col>
      <xdr:colOff>57150</xdr:colOff>
      <xdr:row>61</xdr:row>
      <xdr:rowOff>85725</xdr:rowOff>
    </xdr:to>
    <xdr:sp>
      <xdr:nvSpPr>
        <xdr:cNvPr id="45" name="AutoShape 45"/>
        <xdr:cNvSpPr>
          <a:spLocks/>
        </xdr:cNvSpPr>
      </xdr:nvSpPr>
      <xdr:spPr>
        <a:xfrm>
          <a:off x="7410450" y="10020300"/>
          <a:ext cx="714375" cy="9525"/>
        </a:xfrm>
        <a:custGeom>
          <a:pathLst>
            <a:path h="1" w="75">
              <a:moveTo>
                <a:pt x="75" y="0"/>
              </a:moveTo>
              <a:lnTo>
                <a:pt x="0" y="0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66675</xdr:rowOff>
    </xdr:from>
    <xdr:to>
      <xdr:col>8</xdr:col>
      <xdr:colOff>9525</xdr:colOff>
      <xdr:row>69</xdr:row>
      <xdr:rowOff>76200</xdr:rowOff>
    </xdr:to>
    <xdr:sp>
      <xdr:nvSpPr>
        <xdr:cNvPr id="46" name="AutoShape 46"/>
        <xdr:cNvSpPr>
          <a:spLocks/>
        </xdr:cNvSpPr>
      </xdr:nvSpPr>
      <xdr:spPr>
        <a:xfrm>
          <a:off x="5981700" y="11306175"/>
          <a:ext cx="457200" cy="9525"/>
        </a:xfrm>
        <a:custGeom>
          <a:pathLst>
            <a:path h="1" w="48">
              <a:moveTo>
                <a:pt x="48" y="0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61</xdr:row>
      <xdr:rowOff>76200</xdr:rowOff>
    </xdr:from>
    <xdr:to>
      <xdr:col>12</xdr:col>
      <xdr:colOff>123825</xdr:colOff>
      <xdr:row>61</xdr:row>
      <xdr:rowOff>85725</xdr:rowOff>
    </xdr:to>
    <xdr:sp>
      <xdr:nvSpPr>
        <xdr:cNvPr id="47" name="AutoShape 47"/>
        <xdr:cNvSpPr>
          <a:spLocks/>
        </xdr:cNvSpPr>
      </xdr:nvSpPr>
      <xdr:spPr>
        <a:xfrm>
          <a:off x="7181850" y="10020300"/>
          <a:ext cx="323850" cy="9525"/>
        </a:xfrm>
        <a:custGeom>
          <a:pathLst>
            <a:path h="1" w="34">
              <a:moveTo>
                <a:pt x="34" y="0"/>
              </a:moveTo>
              <a:lnTo>
                <a:pt x="0" y="0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61</xdr:row>
      <xdr:rowOff>66675</xdr:rowOff>
    </xdr:from>
    <xdr:to>
      <xdr:col>10</xdr:col>
      <xdr:colOff>47625</xdr:colOff>
      <xdr:row>63</xdr:row>
      <xdr:rowOff>152400</xdr:rowOff>
    </xdr:to>
    <xdr:sp>
      <xdr:nvSpPr>
        <xdr:cNvPr id="48" name="AutoShape 48"/>
        <xdr:cNvSpPr>
          <a:spLocks/>
        </xdr:cNvSpPr>
      </xdr:nvSpPr>
      <xdr:spPr>
        <a:xfrm>
          <a:off x="6838950" y="10010775"/>
          <a:ext cx="133350" cy="409575"/>
        </a:xfrm>
        <a:custGeom>
          <a:pathLst>
            <a:path h="43" w="14">
              <a:moveTo>
                <a:pt x="0" y="0"/>
              </a:moveTo>
              <a:lnTo>
                <a:pt x="14" y="43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64</xdr:row>
      <xdr:rowOff>104775</xdr:rowOff>
    </xdr:from>
    <xdr:to>
      <xdr:col>10</xdr:col>
      <xdr:colOff>209550</xdr:colOff>
      <xdr:row>66</xdr:row>
      <xdr:rowOff>85725</xdr:rowOff>
    </xdr:to>
    <xdr:sp>
      <xdr:nvSpPr>
        <xdr:cNvPr id="49" name="AutoShape 49"/>
        <xdr:cNvSpPr>
          <a:spLocks/>
        </xdr:cNvSpPr>
      </xdr:nvSpPr>
      <xdr:spPr>
        <a:xfrm>
          <a:off x="7029450" y="10534650"/>
          <a:ext cx="104775" cy="304800"/>
        </a:xfrm>
        <a:custGeom>
          <a:pathLst>
            <a:path h="32" w="11">
              <a:moveTo>
                <a:pt x="0" y="0"/>
              </a:moveTo>
              <a:lnTo>
                <a:pt x="11" y="32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114300</xdr:rowOff>
    </xdr:from>
    <xdr:to>
      <xdr:col>8</xdr:col>
      <xdr:colOff>9525</xdr:colOff>
      <xdr:row>37</xdr:row>
      <xdr:rowOff>66675</xdr:rowOff>
    </xdr:to>
    <xdr:sp>
      <xdr:nvSpPr>
        <xdr:cNvPr id="50" name="AutoShape 50"/>
        <xdr:cNvSpPr>
          <a:spLocks/>
        </xdr:cNvSpPr>
      </xdr:nvSpPr>
      <xdr:spPr>
        <a:xfrm>
          <a:off x="6429375" y="4457700"/>
          <a:ext cx="9525" cy="1752600"/>
        </a:xfrm>
        <a:custGeom>
          <a:pathLst>
            <a:path h="184" w="1">
              <a:moveTo>
                <a:pt x="0" y="0"/>
              </a:moveTo>
              <a:lnTo>
                <a:pt x="0" y="184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68</xdr:row>
      <xdr:rowOff>114300</xdr:rowOff>
    </xdr:from>
    <xdr:to>
      <xdr:col>20</xdr:col>
      <xdr:colOff>76200</xdr:colOff>
      <xdr:row>68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8629650" y="11191875"/>
          <a:ext cx="657225" cy="0"/>
        </a:xfrm>
        <a:prstGeom prst="line">
          <a:avLst/>
        </a:prstGeom>
        <a:noFill/>
        <a:ln w="38100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66</xdr:row>
      <xdr:rowOff>104775</xdr:rowOff>
    </xdr:from>
    <xdr:to>
      <xdr:col>17</xdr:col>
      <xdr:colOff>104775</xdr:colOff>
      <xdr:row>68</xdr:row>
      <xdr:rowOff>123825</xdr:rowOff>
    </xdr:to>
    <xdr:sp>
      <xdr:nvSpPr>
        <xdr:cNvPr id="52" name="AutoShape 52"/>
        <xdr:cNvSpPr>
          <a:spLocks/>
        </xdr:cNvSpPr>
      </xdr:nvSpPr>
      <xdr:spPr>
        <a:xfrm>
          <a:off x="8620125" y="10858500"/>
          <a:ext cx="9525" cy="342900"/>
        </a:xfrm>
        <a:custGeom>
          <a:pathLst>
            <a:path h="36" w="1">
              <a:moveTo>
                <a:pt x="0" y="36"/>
              </a:moveTo>
              <a:lnTo>
                <a:pt x="0" y="0"/>
              </a:lnTo>
            </a:path>
          </a:pathLst>
        </a:custGeom>
        <a:noFill/>
        <a:ln w="3810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323850</xdr:colOff>
      <xdr:row>14</xdr:row>
      <xdr:rowOff>152400</xdr:rowOff>
    </xdr:from>
    <xdr:to>
      <xdr:col>39</xdr:col>
      <xdr:colOff>323850</xdr:colOff>
      <xdr:row>18</xdr:row>
      <xdr:rowOff>142875</xdr:rowOff>
    </xdr:to>
    <xdr:sp>
      <xdr:nvSpPr>
        <xdr:cNvPr id="53" name="Line 53"/>
        <xdr:cNvSpPr>
          <a:spLocks/>
        </xdr:cNvSpPr>
      </xdr:nvSpPr>
      <xdr:spPr>
        <a:xfrm>
          <a:off x="16544925" y="2524125"/>
          <a:ext cx="0" cy="638175"/>
        </a:xfrm>
        <a:prstGeom prst="line">
          <a:avLst/>
        </a:prstGeom>
        <a:noFill/>
        <a:ln w="31750" cmpd="sng">
          <a:solidFill>
            <a:srgbClr val="FF6600"/>
          </a:solidFill>
          <a:prstDash val="sysDash"/>
          <a:headEnd type="none"/>
          <a:tailEnd type="stealth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5</xdr:row>
      <xdr:rowOff>19050</xdr:rowOff>
    </xdr:from>
    <xdr:to>
      <xdr:col>14</xdr:col>
      <xdr:colOff>200025</xdr:colOff>
      <xdr:row>8</xdr:row>
      <xdr:rowOff>152400</xdr:rowOff>
    </xdr:to>
    <xdr:sp>
      <xdr:nvSpPr>
        <xdr:cNvPr id="54" name="AutoShape 54"/>
        <xdr:cNvSpPr>
          <a:spLocks/>
        </xdr:cNvSpPr>
      </xdr:nvSpPr>
      <xdr:spPr>
        <a:xfrm>
          <a:off x="8029575" y="933450"/>
          <a:ext cx="9525" cy="695325"/>
        </a:xfrm>
        <a:custGeom>
          <a:pathLst>
            <a:path h="73" w="1">
              <a:moveTo>
                <a:pt x="0" y="0"/>
              </a:moveTo>
              <a:lnTo>
                <a:pt x="0" y="73"/>
              </a:lnTo>
            </a:path>
          </a:pathLst>
        </a:custGeom>
        <a:noFill/>
        <a:ln w="31750" cmpd="sng">
          <a:solidFill>
            <a:srgbClr val="FF6600"/>
          </a:solidFill>
          <a:prstDash val="sysDash"/>
          <a:headEnd type="none"/>
          <a:tailEnd type="stealth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19050</xdr:colOff>
      <xdr:row>139</xdr:row>
      <xdr:rowOff>19050</xdr:rowOff>
    </xdr:from>
    <xdr:to>
      <xdr:col>36</xdr:col>
      <xdr:colOff>19050</xdr:colOff>
      <xdr:row>141</xdr:row>
      <xdr:rowOff>85725</xdr:rowOff>
    </xdr:to>
    <xdr:sp>
      <xdr:nvSpPr>
        <xdr:cNvPr id="55" name="Line 55"/>
        <xdr:cNvSpPr>
          <a:spLocks/>
        </xdr:cNvSpPr>
      </xdr:nvSpPr>
      <xdr:spPr>
        <a:xfrm flipH="1">
          <a:off x="14411325" y="2277427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247650</xdr:colOff>
      <xdr:row>139</xdr:row>
      <xdr:rowOff>19050</xdr:rowOff>
    </xdr:from>
    <xdr:to>
      <xdr:col>36</xdr:col>
      <xdr:colOff>247650</xdr:colOff>
      <xdr:row>141</xdr:row>
      <xdr:rowOff>85725</xdr:rowOff>
    </xdr:to>
    <xdr:sp>
      <xdr:nvSpPr>
        <xdr:cNvPr id="56" name="Line 56"/>
        <xdr:cNvSpPr>
          <a:spLocks/>
        </xdr:cNvSpPr>
      </xdr:nvSpPr>
      <xdr:spPr>
        <a:xfrm flipH="1">
          <a:off x="14639925" y="2277427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400050</xdr:colOff>
      <xdr:row>139</xdr:row>
      <xdr:rowOff>19050</xdr:rowOff>
    </xdr:from>
    <xdr:to>
      <xdr:col>35</xdr:col>
      <xdr:colOff>400050</xdr:colOff>
      <xdr:row>141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4182725" y="2277427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137</xdr:row>
      <xdr:rowOff>123825</xdr:rowOff>
    </xdr:from>
    <xdr:to>
      <xdr:col>35</xdr:col>
      <xdr:colOff>133350</xdr:colOff>
      <xdr:row>140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13916025" y="22555200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590550</xdr:colOff>
      <xdr:row>147</xdr:row>
      <xdr:rowOff>152400</xdr:rowOff>
    </xdr:from>
    <xdr:to>
      <xdr:col>35</xdr:col>
      <xdr:colOff>590550</xdr:colOff>
      <xdr:row>150</xdr:row>
      <xdr:rowOff>57150</xdr:rowOff>
    </xdr:to>
    <xdr:sp>
      <xdr:nvSpPr>
        <xdr:cNvPr id="59" name="Line 59"/>
        <xdr:cNvSpPr>
          <a:spLocks/>
        </xdr:cNvSpPr>
      </xdr:nvSpPr>
      <xdr:spPr>
        <a:xfrm flipH="1">
          <a:off x="14373225" y="2420302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147</xdr:row>
      <xdr:rowOff>152400</xdr:rowOff>
    </xdr:from>
    <xdr:to>
      <xdr:col>36</xdr:col>
      <xdr:colOff>0</xdr:colOff>
      <xdr:row>150</xdr:row>
      <xdr:rowOff>57150</xdr:rowOff>
    </xdr:to>
    <xdr:sp>
      <xdr:nvSpPr>
        <xdr:cNvPr id="60" name="Line 60"/>
        <xdr:cNvSpPr>
          <a:spLocks/>
        </xdr:cNvSpPr>
      </xdr:nvSpPr>
      <xdr:spPr>
        <a:xfrm flipH="1">
          <a:off x="14392275" y="2420302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66</xdr:row>
      <xdr:rowOff>114300</xdr:rowOff>
    </xdr:from>
    <xdr:to>
      <xdr:col>16</xdr:col>
      <xdr:colOff>9525</xdr:colOff>
      <xdr:row>71</xdr:row>
      <xdr:rowOff>28575</xdr:rowOff>
    </xdr:to>
    <xdr:sp>
      <xdr:nvSpPr>
        <xdr:cNvPr id="61" name="AutoShape 61"/>
        <xdr:cNvSpPr>
          <a:spLocks/>
        </xdr:cNvSpPr>
      </xdr:nvSpPr>
      <xdr:spPr>
        <a:xfrm>
          <a:off x="8296275" y="10868025"/>
          <a:ext cx="9525" cy="752475"/>
        </a:xfrm>
        <a:custGeom>
          <a:pathLst>
            <a:path h="79" w="1">
              <a:moveTo>
                <a:pt x="0" y="0"/>
              </a:moveTo>
              <a:lnTo>
                <a:pt x="0" y="79"/>
              </a:lnTo>
            </a:path>
          </a:pathLst>
        </a:custGeom>
        <a:noFill/>
        <a:ln w="44450" cmpd="sng">
          <a:solidFill>
            <a:srgbClr val="808080"/>
          </a:solidFill>
          <a:prstDash val="dash"/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60</xdr:row>
      <xdr:rowOff>0</xdr:rowOff>
    </xdr:from>
    <xdr:to>
      <xdr:col>15</xdr:col>
      <xdr:colOff>180975</xdr:colOff>
      <xdr:row>60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7677150" y="9782175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419100</xdr:colOff>
      <xdr:row>127</xdr:row>
      <xdr:rowOff>123825</xdr:rowOff>
    </xdr:from>
    <xdr:to>
      <xdr:col>33</xdr:col>
      <xdr:colOff>419100</xdr:colOff>
      <xdr:row>130</xdr:row>
      <xdr:rowOff>28575</xdr:rowOff>
    </xdr:to>
    <xdr:sp>
      <xdr:nvSpPr>
        <xdr:cNvPr id="63" name="Line 63"/>
        <xdr:cNvSpPr>
          <a:spLocks/>
        </xdr:cNvSpPr>
      </xdr:nvSpPr>
      <xdr:spPr>
        <a:xfrm flipH="1">
          <a:off x="12982575" y="20935950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419100</xdr:colOff>
      <xdr:row>127</xdr:row>
      <xdr:rowOff>123825</xdr:rowOff>
    </xdr:from>
    <xdr:to>
      <xdr:col>33</xdr:col>
      <xdr:colOff>419100</xdr:colOff>
      <xdr:row>130</xdr:row>
      <xdr:rowOff>28575</xdr:rowOff>
    </xdr:to>
    <xdr:sp>
      <xdr:nvSpPr>
        <xdr:cNvPr id="64" name="Line 64"/>
        <xdr:cNvSpPr>
          <a:spLocks/>
        </xdr:cNvSpPr>
      </xdr:nvSpPr>
      <xdr:spPr>
        <a:xfrm flipH="1">
          <a:off x="12982575" y="20935950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419100</xdr:colOff>
      <xdr:row>127</xdr:row>
      <xdr:rowOff>123825</xdr:rowOff>
    </xdr:from>
    <xdr:to>
      <xdr:col>33</xdr:col>
      <xdr:colOff>419100</xdr:colOff>
      <xdr:row>130</xdr:row>
      <xdr:rowOff>28575</xdr:rowOff>
    </xdr:to>
    <xdr:sp>
      <xdr:nvSpPr>
        <xdr:cNvPr id="65" name="Line 65"/>
        <xdr:cNvSpPr>
          <a:spLocks/>
        </xdr:cNvSpPr>
      </xdr:nvSpPr>
      <xdr:spPr>
        <a:xfrm flipH="1">
          <a:off x="12982575" y="20935950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333375</xdr:colOff>
      <xdr:row>127</xdr:row>
      <xdr:rowOff>123825</xdr:rowOff>
    </xdr:from>
    <xdr:to>
      <xdr:col>33</xdr:col>
      <xdr:colOff>333375</xdr:colOff>
      <xdr:row>130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12896850" y="20935950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61</xdr:row>
      <xdr:rowOff>38100</xdr:rowOff>
    </xdr:to>
    <xdr:sp>
      <xdr:nvSpPr>
        <xdr:cNvPr id="67" name="Line 67"/>
        <xdr:cNvSpPr>
          <a:spLocks/>
        </xdr:cNvSpPr>
      </xdr:nvSpPr>
      <xdr:spPr>
        <a:xfrm>
          <a:off x="6429375" y="9620250"/>
          <a:ext cx="0" cy="361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V84"/>
  <sheetViews>
    <sheetView tabSelected="1" zoomScale="95" zoomScaleNormal="95" workbookViewId="0" topLeftCell="A1">
      <selection activeCell="B5" sqref="B5"/>
    </sheetView>
  </sheetViews>
  <sheetFormatPr defaultColWidth="9.140625" defaultRowHeight="12.75"/>
  <cols>
    <col min="1" max="1" width="47.28125" style="0" customWidth="1"/>
    <col min="2" max="2" width="13.00390625" style="3" customWidth="1"/>
    <col min="3" max="3" width="13.140625" style="3" customWidth="1"/>
    <col min="4" max="4" width="10.140625" style="0" customWidth="1"/>
    <col min="5" max="5" width="3.421875" style="0" customWidth="1"/>
    <col min="6" max="6" width="2.57421875" style="0" customWidth="1"/>
    <col min="7" max="8" width="3.421875" style="0" customWidth="1"/>
    <col min="9" max="9" width="4.00390625" style="0" customWidth="1"/>
    <col min="10" max="32" width="3.421875" style="0" customWidth="1"/>
  </cols>
  <sheetData>
    <row r="1" ht="12.75">
      <c r="O1" t="s">
        <v>9</v>
      </c>
    </row>
    <row r="2" spans="9:17" ht="15.75">
      <c r="I2" s="25">
        <f>C5</f>
        <v>19.998</v>
      </c>
      <c r="J2" s="25"/>
      <c r="K2" s="26" t="s">
        <v>1</v>
      </c>
      <c r="L2" s="27"/>
      <c r="O2" s="102">
        <f>K6+S6+P10</f>
        <v>14.696612605810762</v>
      </c>
      <c r="P2" s="100"/>
      <c r="Q2" t="s">
        <v>3</v>
      </c>
    </row>
    <row r="3" spans="2:17" ht="15.75">
      <c r="B3" s="3" t="s">
        <v>6</v>
      </c>
      <c r="C3" s="3" t="s">
        <v>7</v>
      </c>
      <c r="E3" t="s">
        <v>94</v>
      </c>
      <c r="I3" s="14"/>
      <c r="J3" s="14"/>
      <c r="K3" s="13"/>
      <c r="L3" s="15"/>
      <c r="M3" s="1"/>
      <c r="N3" s="1"/>
      <c r="O3" s="103">
        <f>K7+P11+S7</f>
        <v>1175.846593124173</v>
      </c>
      <c r="P3" s="103"/>
      <c r="Q3" t="s">
        <v>33</v>
      </c>
    </row>
    <row r="4" spans="1:13" ht="15" customHeight="1">
      <c r="A4" s="20" t="s">
        <v>14</v>
      </c>
      <c r="B4" s="21"/>
      <c r="C4" s="21"/>
      <c r="D4" s="22"/>
      <c r="E4" s="108">
        <f>E11+E24</f>
        <v>19.923932090715414</v>
      </c>
      <c r="F4" s="100"/>
      <c r="G4" t="s">
        <v>3</v>
      </c>
      <c r="H4" s="12"/>
      <c r="I4" s="113">
        <f>C5*B6/1000</f>
        <v>3.9996000000000005</v>
      </c>
      <c r="J4" s="113"/>
      <c r="K4" s="13" t="s">
        <v>46</v>
      </c>
      <c r="L4" s="13"/>
      <c r="M4" s="12"/>
    </row>
    <row r="5" spans="1:18" ht="12.75">
      <c r="A5" s="22" t="s">
        <v>10</v>
      </c>
      <c r="B5" s="23">
        <v>5.555</v>
      </c>
      <c r="C5" s="21">
        <f>B5*3.6</f>
        <v>19.998</v>
      </c>
      <c r="D5" s="22" t="s">
        <v>1</v>
      </c>
      <c r="L5" t="s">
        <v>9</v>
      </c>
      <c r="R5" t="s">
        <v>63</v>
      </c>
    </row>
    <row r="6" spans="1:22" ht="12.75">
      <c r="A6" s="22" t="s">
        <v>11</v>
      </c>
      <c r="B6" s="21">
        <v>200</v>
      </c>
      <c r="C6" s="24">
        <f>B6/14</f>
        <v>14.285714285714286</v>
      </c>
      <c r="D6" s="22" t="s">
        <v>21</v>
      </c>
      <c r="K6" s="102">
        <f>C21</f>
        <v>6.121650614615818</v>
      </c>
      <c r="L6" s="105"/>
      <c r="M6" t="s">
        <v>3</v>
      </c>
      <c r="S6" s="101">
        <f>C83</f>
        <v>0.42941431777628913</v>
      </c>
      <c r="T6" s="101"/>
      <c r="U6" t="s">
        <v>3</v>
      </c>
      <c r="V6" s="16">
        <f>0.5*((1-C49)*C6*(10^(B38-9.3)/(10^(B38-9.3)+1))-C50*(10^(B82-9.3)/(10^(B82-9.3)+1))/14)*98</f>
        <v>34.35658108021115</v>
      </c>
    </row>
    <row r="7" spans="1:21" ht="12.75">
      <c r="A7" s="22" t="s">
        <v>12</v>
      </c>
      <c r="B7" s="21">
        <v>610</v>
      </c>
      <c r="C7" s="24">
        <f>B7/61</f>
        <v>10</v>
      </c>
      <c r="D7" s="22" t="s">
        <v>21</v>
      </c>
      <c r="K7" s="114">
        <f>C16*98*0.5</f>
        <v>489.78102727199257</v>
      </c>
      <c r="L7" s="115"/>
      <c r="M7" t="s">
        <v>33</v>
      </c>
      <c r="S7" s="102">
        <f>V6</f>
        <v>34.35658108021115</v>
      </c>
      <c r="T7" s="102"/>
      <c r="U7" t="s">
        <v>33</v>
      </c>
    </row>
    <row r="8" spans="1:4" ht="18.75" customHeight="1">
      <c r="A8" s="17" t="s">
        <v>15</v>
      </c>
      <c r="B8" s="18"/>
      <c r="C8" s="18"/>
      <c r="D8" s="19"/>
    </row>
    <row r="9" spans="1:16" ht="12.75">
      <c r="A9" s="19" t="s">
        <v>16</v>
      </c>
      <c r="B9" s="18">
        <v>1600</v>
      </c>
      <c r="C9" s="18"/>
      <c r="D9" s="19"/>
      <c r="P9" t="s">
        <v>62</v>
      </c>
    </row>
    <row r="10" spans="1:18" ht="12.75">
      <c r="A10" s="19" t="s">
        <v>17</v>
      </c>
      <c r="B10" s="18">
        <v>600</v>
      </c>
      <c r="C10" s="18"/>
      <c r="D10" s="19"/>
      <c r="P10" s="104">
        <f>C80</f>
        <v>8.145547673418655</v>
      </c>
      <c r="Q10" s="105"/>
      <c r="R10" t="s">
        <v>3</v>
      </c>
    </row>
    <row r="11" spans="1:18" ht="12.75">
      <c r="A11" s="19" t="s">
        <v>18</v>
      </c>
      <c r="B11" s="18">
        <v>300</v>
      </c>
      <c r="C11" s="18"/>
      <c r="D11" s="19"/>
      <c r="E11" s="110">
        <f>C35</f>
        <v>19.166129036119887</v>
      </c>
      <c r="F11" s="111"/>
      <c r="G11" t="s">
        <v>3</v>
      </c>
      <c r="L11" s="7">
        <f>B23</f>
        <v>50</v>
      </c>
      <c r="M11" s="6"/>
      <c r="N11" t="s">
        <v>33</v>
      </c>
      <c r="P11" s="105">
        <f>C51*0.5*3.6*98/C5</f>
        <v>651.7089847719694</v>
      </c>
      <c r="Q11" s="105"/>
      <c r="R11" t="s">
        <v>33</v>
      </c>
    </row>
    <row r="12" spans="1:13" ht="12.75" hidden="1">
      <c r="A12" s="10"/>
      <c r="B12" s="9"/>
      <c r="C12" s="9"/>
      <c r="D12" s="10"/>
      <c r="M12" t="s">
        <v>8</v>
      </c>
    </row>
    <row r="13" spans="1:14" ht="19.5" customHeight="1">
      <c r="A13" s="28" t="s">
        <v>19</v>
      </c>
      <c r="B13" s="29"/>
      <c r="C13" s="29"/>
      <c r="D13" s="30"/>
      <c r="L13" s="5">
        <f>C24</f>
        <v>3.333</v>
      </c>
      <c r="M13" s="6"/>
      <c r="N13" t="s">
        <v>3</v>
      </c>
    </row>
    <row r="14" spans="1:4" ht="12.75">
      <c r="A14" s="30" t="s">
        <v>13</v>
      </c>
      <c r="B14" s="29"/>
      <c r="C14" s="31">
        <f>(-LOG(C7/1000)+6.35)/2</f>
        <v>4.175</v>
      </c>
      <c r="D14" s="30" t="s">
        <v>0</v>
      </c>
    </row>
    <row r="15" spans="1:4" ht="12.75">
      <c r="A15" s="30" t="s">
        <v>20</v>
      </c>
      <c r="B15" s="29">
        <v>3</v>
      </c>
      <c r="C15" s="29"/>
      <c r="D15" s="30" t="s">
        <v>0</v>
      </c>
    </row>
    <row r="16" spans="1:11" ht="12.75">
      <c r="A16" s="30" t="s">
        <v>97</v>
      </c>
      <c r="B16" s="29"/>
      <c r="C16" s="31">
        <f>C7-C17</f>
        <v>9.995531168816175</v>
      </c>
      <c r="D16" s="30" t="s">
        <v>21</v>
      </c>
      <c r="I16" s="116">
        <f>B27</f>
        <v>10.5</v>
      </c>
      <c r="J16" s="116"/>
      <c r="K16" t="s">
        <v>0</v>
      </c>
    </row>
    <row r="17" spans="1:4" ht="12.75">
      <c r="A17" s="30" t="s">
        <v>98</v>
      </c>
      <c r="B17" s="29"/>
      <c r="C17" s="31">
        <f>C7*POWER(10,(B15-6.35))*(1+POWER(10,(B15-6.35)))</f>
        <v>0.004468831183824601</v>
      </c>
      <c r="D17" s="30" t="s">
        <v>21</v>
      </c>
    </row>
    <row r="18" spans="1:4" ht="12.75">
      <c r="A18" s="50" t="s">
        <v>22</v>
      </c>
      <c r="B18" s="51">
        <f>C16/C7</f>
        <v>0.9995531168816175</v>
      </c>
      <c r="C18" s="29"/>
      <c r="D18" s="30"/>
    </row>
    <row r="19" spans="1:12" ht="12.75">
      <c r="A19" s="30" t="s">
        <v>99</v>
      </c>
      <c r="B19" s="29"/>
      <c r="C19" s="31">
        <f>(1-B18)*C7</f>
        <v>0.004468831183824795</v>
      </c>
      <c r="D19" s="30" t="s">
        <v>21</v>
      </c>
      <c r="L19" t="s">
        <v>89</v>
      </c>
    </row>
    <row r="20" spans="1:4" ht="12.75">
      <c r="A20" s="30" t="s">
        <v>100</v>
      </c>
      <c r="B20" s="29"/>
      <c r="C20" s="31">
        <f>C17</f>
        <v>0.004468831183824601</v>
      </c>
      <c r="D20" s="30" t="s">
        <v>21</v>
      </c>
    </row>
    <row r="21" spans="1:4" ht="12.75">
      <c r="A21" s="50" t="s">
        <v>24</v>
      </c>
      <c r="B21" s="29"/>
      <c r="C21" s="52">
        <f>C5*C16*98*0.5/B9</f>
        <v>6.121650614615818</v>
      </c>
      <c r="D21" s="30" t="s">
        <v>3</v>
      </c>
    </row>
    <row r="22" spans="1:4" ht="12.75">
      <c r="A22" s="10"/>
      <c r="B22" s="9"/>
      <c r="C22" s="9"/>
      <c r="D22" s="10"/>
    </row>
    <row r="23" spans="1:4" ht="12.75">
      <c r="A23" s="32" t="s">
        <v>23</v>
      </c>
      <c r="B23" s="39">
        <v>50</v>
      </c>
      <c r="C23" s="41">
        <f>B23/(55.85+35.45+35.45+35.45)</f>
        <v>0.3082614056720098</v>
      </c>
      <c r="D23" s="32" t="s">
        <v>21</v>
      </c>
    </row>
    <row r="24" spans="1:7" ht="12.75">
      <c r="A24" s="32" t="s">
        <v>29</v>
      </c>
      <c r="B24" s="39"/>
      <c r="C24" s="40">
        <f>C5*B23/B11</f>
        <v>3.333</v>
      </c>
      <c r="D24" s="32" t="s">
        <v>3</v>
      </c>
      <c r="E24" s="110">
        <f>C39</f>
        <v>0.7578030545955259</v>
      </c>
      <c r="F24" s="111"/>
      <c r="G24" t="s">
        <v>3</v>
      </c>
    </row>
    <row r="25" spans="1:11" ht="15">
      <c r="A25" s="32"/>
      <c r="B25" s="39"/>
      <c r="C25" s="39"/>
      <c r="D25" s="32"/>
      <c r="I25" s="117">
        <f>B41</f>
        <v>20</v>
      </c>
      <c r="J25" s="117"/>
      <c r="K25" s="2" t="s">
        <v>4</v>
      </c>
    </row>
    <row r="26" spans="1:11" ht="12.75">
      <c r="A26" s="32" t="s">
        <v>32</v>
      </c>
      <c r="B26" s="39"/>
      <c r="C26" s="42">
        <f>(LOG10(0.001*C6)+14+9.3)/2</f>
        <v>10.727450979992872</v>
      </c>
      <c r="D26" s="32"/>
      <c r="I26" s="111">
        <f>B38</f>
        <v>11</v>
      </c>
      <c r="J26" s="111"/>
      <c r="K26" t="s">
        <v>0</v>
      </c>
    </row>
    <row r="27" spans="1:13" ht="12.75">
      <c r="A27" s="32" t="s">
        <v>101</v>
      </c>
      <c r="B27" s="39">
        <v>10.5</v>
      </c>
      <c r="C27" s="43"/>
      <c r="D27" s="32"/>
      <c r="M27" s="6"/>
    </row>
    <row r="28" spans="1:13" ht="12.75">
      <c r="A28" s="32" t="s">
        <v>102</v>
      </c>
      <c r="B28" s="39"/>
      <c r="C28" s="40">
        <f>C6-C29</f>
        <v>13.437843669960463</v>
      </c>
      <c r="D28" s="32" t="s">
        <v>21</v>
      </c>
      <c r="L28" s="6"/>
      <c r="M28" s="6"/>
    </row>
    <row r="29" spans="1:13" ht="12.75">
      <c r="A29" s="32" t="s">
        <v>103</v>
      </c>
      <c r="B29" s="39"/>
      <c r="C29" s="40">
        <f>C6*POWER(10,(9.3-B27))/(1+POWER(10,(9.3-B27)))</f>
        <v>0.8478706157538238</v>
      </c>
      <c r="D29" s="32" t="s">
        <v>21</v>
      </c>
      <c r="L29" s="6"/>
      <c r="M29" s="6"/>
    </row>
    <row r="30" spans="1:17" ht="12.75">
      <c r="A30" s="33" t="s">
        <v>28</v>
      </c>
      <c r="B30" s="35"/>
      <c r="C30" s="37">
        <f>C31+C32+C33+C34</f>
        <v>14.376034380527967</v>
      </c>
      <c r="D30" s="33" t="s">
        <v>21</v>
      </c>
      <c r="M30" s="6"/>
      <c r="O30" s="107">
        <f>C50*C5/1000</f>
        <v>0.2759210635800445</v>
      </c>
      <c r="P30" s="107"/>
      <c r="Q30" s="4" t="s">
        <v>46</v>
      </c>
    </row>
    <row r="31" spans="1:4" ht="12.75">
      <c r="A31" s="44" t="s">
        <v>25</v>
      </c>
      <c r="B31" s="35"/>
      <c r="C31" s="36">
        <f>C19*2</f>
        <v>0.00893766236764959</v>
      </c>
      <c r="D31" s="33" t="s">
        <v>21</v>
      </c>
    </row>
    <row r="32" spans="1:4" ht="12.75">
      <c r="A32" s="44" t="s">
        <v>26</v>
      </c>
      <c r="B32" s="35"/>
      <c r="C32" s="37">
        <f>C20</f>
        <v>0.004468831183824601</v>
      </c>
      <c r="D32" s="33" t="s">
        <v>21</v>
      </c>
    </row>
    <row r="33" spans="1:6" ht="12.75">
      <c r="A33" s="44" t="s">
        <v>27</v>
      </c>
      <c r="B33" s="35"/>
      <c r="C33" s="38">
        <f>C28</f>
        <v>13.437843669960463</v>
      </c>
      <c r="D33" s="33" t="s">
        <v>21</v>
      </c>
      <c r="F33" t="s">
        <v>9</v>
      </c>
    </row>
    <row r="34" spans="1:4" ht="12.75">
      <c r="A34" s="44" t="s">
        <v>31</v>
      </c>
      <c r="B34" s="35"/>
      <c r="C34" s="37">
        <f>C23*3</f>
        <v>0.9247842170160294</v>
      </c>
      <c r="D34" s="33" t="s">
        <v>21</v>
      </c>
    </row>
    <row r="35" spans="1:7" ht="12.75">
      <c r="A35" s="33" t="s">
        <v>30</v>
      </c>
      <c r="B35" s="35"/>
      <c r="C35" s="37">
        <f>C30*40*C5/B10</f>
        <v>19.166129036119887</v>
      </c>
      <c r="D35" s="33" t="s">
        <v>3</v>
      </c>
      <c r="E35" s="101">
        <f>S6</f>
        <v>0.42941431777628913</v>
      </c>
      <c r="F35" s="100"/>
      <c r="G35" t="s">
        <v>3</v>
      </c>
    </row>
    <row r="36" spans="1:7" ht="12.75">
      <c r="A36" s="32" t="s">
        <v>34</v>
      </c>
      <c r="B36" s="39"/>
      <c r="C36" s="40">
        <f>C19+C32</f>
        <v>0.008937662367649396</v>
      </c>
      <c r="D36" s="32" t="s">
        <v>21</v>
      </c>
      <c r="E36" s="102">
        <f>S7</f>
        <v>34.35658108021115</v>
      </c>
      <c r="F36" s="100"/>
      <c r="G36" t="s">
        <v>33</v>
      </c>
    </row>
    <row r="37" spans="1:17" ht="14.25">
      <c r="A37" s="32" t="s">
        <v>104</v>
      </c>
      <c r="B37" s="39"/>
      <c r="C37" s="41">
        <f>C23</f>
        <v>0.3082614056720098</v>
      </c>
      <c r="D37" s="32" t="s">
        <v>21</v>
      </c>
      <c r="O37" s="106">
        <f>B42-C44/4.19/B5</f>
        <v>22</v>
      </c>
      <c r="P37" s="106"/>
      <c r="Q37" s="1" t="s">
        <v>4</v>
      </c>
    </row>
    <row r="38" spans="1:4" ht="12.75">
      <c r="A38" s="34" t="s">
        <v>38</v>
      </c>
      <c r="B38" s="9">
        <v>11</v>
      </c>
      <c r="C38" s="9"/>
      <c r="D38" s="10"/>
    </row>
    <row r="39" spans="1:14" ht="12.75">
      <c r="A39" s="33" t="s">
        <v>39</v>
      </c>
      <c r="B39" s="35"/>
      <c r="C39" s="37">
        <f>C5*40/B10*(C29-C6*POWER(10,(9.3-B38))/(1+POWER(10,(9.3-B38))))</f>
        <v>0.7578030545955259</v>
      </c>
      <c r="D39" s="33"/>
      <c r="L39" s="103">
        <f>C44</f>
        <v>884.4671000000001</v>
      </c>
      <c r="M39" s="105"/>
      <c r="N39" t="s">
        <v>2</v>
      </c>
    </row>
    <row r="40" spans="1:4" ht="18.75" customHeight="1">
      <c r="A40" s="45" t="s">
        <v>41</v>
      </c>
      <c r="B40" s="46"/>
      <c r="C40" s="46"/>
      <c r="D40" s="47"/>
    </row>
    <row r="41" spans="1:10" ht="15">
      <c r="A41" s="47" t="s">
        <v>105</v>
      </c>
      <c r="B41" s="46">
        <v>20</v>
      </c>
      <c r="C41" s="46"/>
      <c r="D41" s="47"/>
      <c r="I41">
        <f>B41+C44/4.19/B5</f>
        <v>58</v>
      </c>
      <c r="J41" s="2" t="s">
        <v>4</v>
      </c>
    </row>
    <row r="42" spans="1:4" ht="12.75">
      <c r="A42" s="47" t="s">
        <v>106</v>
      </c>
      <c r="B42" s="46">
        <v>60</v>
      </c>
      <c r="C42" s="46"/>
      <c r="D42" s="47"/>
    </row>
    <row r="43" spans="1:4" ht="12.75">
      <c r="A43" s="47" t="s">
        <v>35</v>
      </c>
      <c r="B43" s="48">
        <v>0.95</v>
      </c>
      <c r="C43" s="46"/>
      <c r="D43" s="47"/>
    </row>
    <row r="44" spans="1:4" ht="12.75">
      <c r="A44" s="47" t="s">
        <v>37</v>
      </c>
      <c r="B44" s="46"/>
      <c r="C44" s="49">
        <f>B43*(B42-B41)*4.19*B5</f>
        <v>884.4671000000001</v>
      </c>
      <c r="D44" s="47" t="s">
        <v>2</v>
      </c>
    </row>
    <row r="45" spans="1:14" ht="12.75">
      <c r="A45" s="47" t="s">
        <v>36</v>
      </c>
      <c r="B45" s="46">
        <v>1</v>
      </c>
      <c r="C45" s="46"/>
      <c r="D45" s="47" t="s">
        <v>2</v>
      </c>
      <c r="L45" s="103">
        <f>C46</f>
        <v>47.55090000000004</v>
      </c>
      <c r="M45" s="105"/>
      <c r="N45" t="s">
        <v>2</v>
      </c>
    </row>
    <row r="46" spans="1:4" ht="12.75">
      <c r="A46" s="47" t="s">
        <v>107</v>
      </c>
      <c r="B46" s="46"/>
      <c r="C46" s="49">
        <f>(1-B43)*(B42-B41)*4.19*B5+B45</f>
        <v>47.55090000000004</v>
      </c>
      <c r="D46" s="47" t="s">
        <v>2</v>
      </c>
    </row>
    <row r="47" spans="1:11" ht="23.25" customHeight="1">
      <c r="A47" s="54" t="s">
        <v>42</v>
      </c>
      <c r="B47" s="55"/>
      <c r="C47" s="55"/>
      <c r="D47" s="56"/>
      <c r="I47" s="111">
        <f>B42+B45/4.19/B5</f>
        <v>60.042963723579994</v>
      </c>
      <c r="J47" s="111"/>
      <c r="K47" s="2" t="s">
        <v>4</v>
      </c>
    </row>
    <row r="48" spans="1:4" ht="12.75">
      <c r="A48" s="57" t="s">
        <v>87</v>
      </c>
      <c r="B48" s="58">
        <v>0.9310128353885277</v>
      </c>
      <c r="C48" s="55"/>
      <c r="D48" s="56"/>
    </row>
    <row r="49" spans="1:4" ht="12.75">
      <c r="A49" s="60" t="s">
        <v>95</v>
      </c>
      <c r="B49" s="61"/>
      <c r="C49" s="62">
        <f>1-(C50/14-C6*(10^(9.3-B38)/(10^(9.3-B38)+1)))/(C6*(10^(B38-9.3)/(10^(B38-9.3)+1)))</f>
        <v>0.9495889836405583</v>
      </c>
      <c r="D49" s="59"/>
    </row>
    <row r="50" spans="1:4" ht="12.75">
      <c r="A50" s="60" t="s">
        <v>88</v>
      </c>
      <c r="B50" s="63"/>
      <c r="C50" s="65">
        <f>(1-B48)*B6</f>
        <v>13.797432922294451</v>
      </c>
      <c r="D50" s="60" t="s">
        <v>5</v>
      </c>
    </row>
    <row r="51" spans="1:12" ht="12.75">
      <c r="A51" s="60" t="s">
        <v>55</v>
      </c>
      <c r="B51" s="63"/>
      <c r="C51" s="65">
        <f>C49*C6*B5*(10^(B38-9.3)/(10^(B38-9.3)+1))</f>
        <v>73.88251857976103</v>
      </c>
      <c r="D51" s="60" t="s">
        <v>56</v>
      </c>
      <c r="L51" s="4"/>
    </row>
    <row r="52" spans="1:4" ht="12.75">
      <c r="A52" s="98" t="s">
        <v>71</v>
      </c>
      <c r="B52" s="67"/>
      <c r="C52" s="99">
        <f>C51*132/2000</f>
        <v>4.876246226264228</v>
      </c>
      <c r="D52" s="98" t="s">
        <v>70</v>
      </c>
    </row>
    <row r="53" spans="1:4" ht="12.75" hidden="1">
      <c r="A53" s="66" t="s">
        <v>49</v>
      </c>
      <c r="B53" s="69"/>
      <c r="C53" s="69"/>
      <c r="D53" s="66"/>
    </row>
    <row r="54" spans="1:4" ht="12.75" hidden="1">
      <c r="A54" s="66" t="s">
        <v>50</v>
      </c>
      <c r="B54" s="69"/>
      <c r="C54" s="69"/>
      <c r="D54" s="66"/>
    </row>
    <row r="55" spans="1:4" ht="12.75">
      <c r="A55" s="66" t="s">
        <v>47</v>
      </c>
      <c r="B55" s="69"/>
      <c r="C55" s="68">
        <f>387194.1658*EXP(-3832.4/(273.15+B42))</f>
        <v>3.9085037447770845</v>
      </c>
      <c r="D55" s="66"/>
    </row>
    <row r="56" spans="1:4" ht="12.75">
      <c r="A56" s="66" t="s">
        <v>60</v>
      </c>
      <c r="B56" s="69">
        <v>4</v>
      </c>
      <c r="C56" s="70">
        <f>1000*B56/(0.082*(273.15+B42))</f>
        <v>146.42199551216584</v>
      </c>
      <c r="D56" s="66" t="s">
        <v>59</v>
      </c>
    </row>
    <row r="57" spans="1:4" ht="12.75">
      <c r="A57" s="66" t="s">
        <v>96</v>
      </c>
      <c r="B57" s="69"/>
      <c r="C57" s="68">
        <f>C55*C56/(B5/0.018)</f>
        <v>1.8544080143990287</v>
      </c>
      <c r="D57" s="66"/>
    </row>
    <row r="58" spans="1:10" ht="12.75">
      <c r="A58" s="60" t="s">
        <v>53</v>
      </c>
      <c r="B58" s="62"/>
      <c r="C58" s="64">
        <f>(C67-C64)/C67</f>
        <v>0.9551400500895012</v>
      </c>
      <c r="D58" s="60"/>
      <c r="H58" s="105">
        <f>B6</f>
        <v>200</v>
      </c>
      <c r="I58" s="105"/>
      <c r="J58" t="s">
        <v>79</v>
      </c>
    </row>
    <row r="59" spans="1:10" ht="12.75">
      <c r="A59" s="66" t="s">
        <v>52</v>
      </c>
      <c r="B59" s="69">
        <v>3</v>
      </c>
      <c r="C59" s="69"/>
      <c r="D59" s="66"/>
      <c r="H59" s="112">
        <f>C6</f>
        <v>14.285714285714286</v>
      </c>
      <c r="I59" s="105"/>
      <c r="J59" t="s">
        <v>21</v>
      </c>
    </row>
    <row r="60" spans="1:15" ht="12.75">
      <c r="A60" s="66" t="s">
        <v>51</v>
      </c>
      <c r="B60" s="69"/>
      <c r="C60" s="71">
        <f>LN(C71/C70)</f>
        <v>3.0009155526496842</v>
      </c>
      <c r="D60" s="66"/>
      <c r="L60" s="105">
        <f>C64</f>
        <v>0.022784256899550777</v>
      </c>
      <c r="M60" s="105"/>
      <c r="N60" s="105"/>
      <c r="O60" t="s">
        <v>76</v>
      </c>
    </row>
    <row r="61" spans="1:4" ht="12.75">
      <c r="A61" s="60" t="s">
        <v>48</v>
      </c>
      <c r="B61" s="62">
        <v>0.4</v>
      </c>
      <c r="C61" s="80">
        <f>B61*1000/132</f>
        <v>3.0303030303030303</v>
      </c>
      <c r="D61" s="60" t="s">
        <v>57</v>
      </c>
    </row>
    <row r="62" spans="1:18" ht="12.75">
      <c r="A62" s="66" t="s">
        <v>43</v>
      </c>
      <c r="B62" s="69">
        <v>20</v>
      </c>
      <c r="C62" s="69"/>
      <c r="D62" s="66" t="s">
        <v>44</v>
      </c>
      <c r="H62" s="53"/>
      <c r="I62" s="53"/>
      <c r="P62" s="78"/>
      <c r="Q62" s="78"/>
      <c r="R62" s="78"/>
    </row>
    <row r="63" spans="1:18" ht="12.75">
      <c r="A63" s="66" t="s">
        <v>45</v>
      </c>
      <c r="B63" s="69"/>
      <c r="C63" s="72">
        <f>B62*B61*B56*(2/132)</f>
        <v>0.48484848484848486</v>
      </c>
      <c r="D63" s="66" t="s">
        <v>61</v>
      </c>
      <c r="H63" s="53"/>
      <c r="I63" s="53"/>
      <c r="P63" s="78"/>
      <c r="Q63" s="78"/>
      <c r="R63" s="78"/>
    </row>
    <row r="64" spans="1:18" ht="12.75">
      <c r="A64" s="66" t="s">
        <v>54</v>
      </c>
      <c r="B64" s="69"/>
      <c r="C64" s="72">
        <f>C65+C66</f>
        <v>0.022784256899550777</v>
      </c>
      <c r="D64" s="66" t="s">
        <v>65</v>
      </c>
      <c r="H64" s="53"/>
      <c r="I64" s="53"/>
      <c r="L64" s="105">
        <f>B56</f>
        <v>4</v>
      </c>
      <c r="M64" s="105"/>
      <c r="N64" t="s">
        <v>40</v>
      </c>
      <c r="P64" s="78"/>
      <c r="Q64" s="78"/>
      <c r="R64" s="78"/>
    </row>
    <row r="65" spans="1:18" ht="12.75">
      <c r="A65" s="73" t="s">
        <v>66</v>
      </c>
      <c r="B65" s="69"/>
      <c r="C65" s="69">
        <v>0.019472947808641686</v>
      </c>
      <c r="D65" s="66" t="s">
        <v>65</v>
      </c>
      <c r="H65" s="53"/>
      <c r="I65" s="53"/>
      <c r="L65" s="119">
        <f>C56</f>
        <v>146.42199551216584</v>
      </c>
      <c r="M65" s="105"/>
      <c r="N65" t="s">
        <v>77</v>
      </c>
      <c r="P65" s="78"/>
      <c r="Q65" s="78"/>
      <c r="R65" s="78"/>
    </row>
    <row r="66" spans="1:18" ht="12.75">
      <c r="A66" s="73" t="s">
        <v>67</v>
      </c>
      <c r="B66" s="69"/>
      <c r="C66" s="72">
        <f>C63/C56</f>
        <v>0.003311309090909091</v>
      </c>
      <c r="D66" s="66" t="s">
        <v>65</v>
      </c>
      <c r="H66" s="53"/>
      <c r="I66" s="53"/>
      <c r="P66" s="78"/>
      <c r="Q66" s="78"/>
      <c r="R66" s="78"/>
    </row>
    <row r="67" spans="1:18" ht="12.75">
      <c r="A67" s="66" t="s">
        <v>68</v>
      </c>
      <c r="B67" s="69"/>
      <c r="C67" s="72">
        <f>(C51+C63)/C56</f>
        <v>0.5078975109202805</v>
      </c>
      <c r="D67" s="66" t="s">
        <v>65</v>
      </c>
      <c r="H67" s="53"/>
      <c r="I67" s="53"/>
      <c r="P67" s="78"/>
      <c r="Q67" s="78"/>
      <c r="R67" s="78"/>
    </row>
    <row r="68" spans="1:20" ht="12.75">
      <c r="A68" s="66" t="s">
        <v>69</v>
      </c>
      <c r="B68" s="69"/>
      <c r="C68" s="74">
        <f>C55*2*C61*(10^(B69-9.3)/(10^(B69-9.3)+1))*18/1000</f>
        <v>2.1369625765072764E-06</v>
      </c>
      <c r="D68" s="66" t="s">
        <v>65</v>
      </c>
      <c r="L68" s="118">
        <f>C71</f>
        <v>0.45801025178026594</v>
      </c>
      <c r="M68" s="105"/>
      <c r="N68" s="105"/>
      <c r="T68" t="s">
        <v>9</v>
      </c>
    </row>
    <row r="69" spans="1:12" ht="12.75">
      <c r="A69" s="66" t="s">
        <v>72</v>
      </c>
      <c r="B69" s="69">
        <v>4</v>
      </c>
      <c r="C69" s="69"/>
      <c r="D69" s="66"/>
      <c r="L69" t="s">
        <v>76</v>
      </c>
    </row>
    <row r="70" spans="1:20" ht="15">
      <c r="A70" s="66" t="s">
        <v>73</v>
      </c>
      <c r="B70" s="69"/>
      <c r="C70" s="74">
        <f>C64-C68</f>
        <v>0.02278211993697427</v>
      </c>
      <c r="D70" s="66" t="s">
        <v>65</v>
      </c>
      <c r="H70" s="117">
        <f>B42</f>
        <v>60</v>
      </c>
      <c r="I70" s="117"/>
      <c r="J70" s="2" t="s">
        <v>4</v>
      </c>
      <c r="R70" s="104">
        <f>C80</f>
        <v>8.145547673418655</v>
      </c>
      <c r="S70" s="105"/>
      <c r="T70" t="s">
        <v>3</v>
      </c>
    </row>
    <row r="71" spans="1:20" ht="12.75">
      <c r="A71" s="66" t="s">
        <v>74</v>
      </c>
      <c r="B71" s="69"/>
      <c r="C71" s="75">
        <f>C74-C68</f>
        <v>0.45801025178026594</v>
      </c>
      <c r="D71" s="66" t="s">
        <v>65</v>
      </c>
      <c r="H71" s="105">
        <f>C50</f>
        <v>13.797432922294451</v>
      </c>
      <c r="I71" s="105"/>
      <c r="J71" t="s">
        <v>64</v>
      </c>
      <c r="R71" s="100">
        <f>P11</f>
        <v>651.7089847719694</v>
      </c>
      <c r="S71" s="100"/>
      <c r="T71" t="s">
        <v>33</v>
      </c>
    </row>
    <row r="72" spans="1:10" ht="12.75">
      <c r="A72" s="66" t="s">
        <v>108</v>
      </c>
      <c r="B72" s="69"/>
      <c r="C72" s="75">
        <f>C6*C55*18*(10^(B38-9.3)/(10^(B38-9.3)+1))/1000</f>
        <v>0.9853828474717646</v>
      </c>
      <c r="D72" s="66" t="s">
        <v>65</v>
      </c>
      <c r="H72" s="105">
        <f>C50/14</f>
        <v>0.9855309230210322</v>
      </c>
      <c r="I72" s="105"/>
      <c r="J72" t="s">
        <v>21</v>
      </c>
    </row>
    <row r="73" spans="1:4" ht="12.75">
      <c r="A73" s="66" t="s">
        <v>78</v>
      </c>
      <c r="B73" s="69"/>
      <c r="C73" s="75">
        <f>C51/C56+C64</f>
        <v>0.5273704587289222</v>
      </c>
      <c r="D73" s="66" t="s">
        <v>65</v>
      </c>
    </row>
    <row r="74" spans="1:4" ht="12.75">
      <c r="A74" s="66" t="s">
        <v>75</v>
      </c>
      <c r="B74" s="69"/>
      <c r="C74" s="75">
        <f>C72-C73</f>
        <v>0.45801238874284245</v>
      </c>
      <c r="D74" s="66" t="s">
        <v>65</v>
      </c>
    </row>
    <row r="75" spans="1:14" ht="12.75">
      <c r="A75" s="66" t="s">
        <v>109</v>
      </c>
      <c r="B75" s="69"/>
      <c r="C75" s="69">
        <f>(1-C49)*C6*C55*18*(10^(C79-9.3)/(10^(C79-9.3)+1))/1000</f>
        <v>0.036298410652936715</v>
      </c>
      <c r="D75" s="66" t="s">
        <v>65</v>
      </c>
      <c r="J75" t="s">
        <v>58</v>
      </c>
      <c r="M75" s="109">
        <f>B59-C60</f>
        <v>-0.000915552649684237</v>
      </c>
      <c r="N75" s="109"/>
    </row>
    <row r="76" spans="1:10" ht="12.75">
      <c r="A76" s="66" t="s">
        <v>82</v>
      </c>
      <c r="B76" s="69"/>
      <c r="C76" s="69">
        <f>C75-C64</f>
        <v>0.013514153753385938</v>
      </c>
      <c r="D76" s="66" t="s">
        <v>65</v>
      </c>
      <c r="J76" t="s">
        <v>85</v>
      </c>
    </row>
    <row r="77" spans="1:4" ht="12.75">
      <c r="A77" s="66" t="s">
        <v>81</v>
      </c>
      <c r="B77" s="69">
        <v>4</v>
      </c>
      <c r="C77" s="69"/>
      <c r="D77" s="66"/>
    </row>
    <row r="78" spans="1:14" ht="12.75">
      <c r="A78" s="66" t="s">
        <v>80</v>
      </c>
      <c r="B78" s="69"/>
      <c r="C78" s="68">
        <f>(C73-C64)/((C74-C76)/LN(C74/C76))</f>
        <v>3.9994247722575467</v>
      </c>
      <c r="D78" s="66"/>
      <c r="J78" t="s">
        <v>83</v>
      </c>
      <c r="M78" s="105">
        <f>B77-C78</f>
        <v>0.0005752277424533325</v>
      </c>
      <c r="N78" s="105"/>
    </row>
    <row r="79" spans="1:10" ht="12.75">
      <c r="A79" s="66" t="s">
        <v>86</v>
      </c>
      <c r="B79" s="76"/>
      <c r="C79" s="77">
        <f>9.3+LOG((1-C49)*C6*(10^(B38-9.3)/(10^(B38-9.3)+1)))-LOG(C6*(10^(9.3-B38)/(10^(9.3-B38)+1)))</f>
        <v>9.702525453535106</v>
      </c>
      <c r="D79" s="66" t="s">
        <v>0</v>
      </c>
      <c r="J79" t="s">
        <v>84</v>
      </c>
    </row>
    <row r="80" spans="1:4" ht="12.75">
      <c r="A80" s="60" t="s">
        <v>90</v>
      </c>
      <c r="B80" s="63"/>
      <c r="C80" s="79">
        <f>C51*98*0.5*3.6/B9</f>
        <v>8.145547673418655</v>
      </c>
      <c r="D80" s="60" t="s">
        <v>3</v>
      </c>
    </row>
    <row r="81" spans="1:4" ht="24.75" customHeight="1">
      <c r="A81" s="8" t="s">
        <v>92</v>
      </c>
      <c r="B81" s="9"/>
      <c r="C81" s="9"/>
      <c r="D81" s="10"/>
    </row>
    <row r="82" spans="1:4" ht="12.75">
      <c r="A82" s="10" t="s">
        <v>93</v>
      </c>
      <c r="B82" s="9">
        <v>7</v>
      </c>
      <c r="C82" s="9"/>
      <c r="D82" s="10" t="s">
        <v>0</v>
      </c>
    </row>
    <row r="83" spans="1:4" ht="12.75">
      <c r="A83" s="10" t="s">
        <v>91</v>
      </c>
      <c r="B83" s="9"/>
      <c r="C83" s="11">
        <f>0.5*((1-C49)*C6*(10^(B38-9.3)/(10^(B38-9.3)+1))-C50*(10^(B82-9.3)/(10^(B82-9.3)+1))/14)*C5*98/B9</f>
        <v>0.42941431777628913</v>
      </c>
      <c r="D83" s="10" t="s">
        <v>3</v>
      </c>
    </row>
    <row r="84" spans="1:4" ht="12.75">
      <c r="A84" s="10"/>
      <c r="B84" s="9"/>
      <c r="C84" s="9"/>
      <c r="D84" s="10"/>
    </row>
  </sheetData>
  <mergeCells count="35">
    <mergeCell ref="L68:N68"/>
    <mergeCell ref="L60:N60"/>
    <mergeCell ref="L65:M65"/>
    <mergeCell ref="M78:N78"/>
    <mergeCell ref="L64:M64"/>
    <mergeCell ref="H72:I72"/>
    <mergeCell ref="H71:I71"/>
    <mergeCell ref="K6:L6"/>
    <mergeCell ref="K7:L7"/>
    <mergeCell ref="I16:J16"/>
    <mergeCell ref="H70:I70"/>
    <mergeCell ref="I25:J25"/>
    <mergeCell ref="I47:J47"/>
    <mergeCell ref="I26:J26"/>
    <mergeCell ref="H58:I58"/>
    <mergeCell ref="E4:F4"/>
    <mergeCell ref="M75:N75"/>
    <mergeCell ref="L39:M39"/>
    <mergeCell ref="L45:M45"/>
    <mergeCell ref="E11:F11"/>
    <mergeCell ref="E24:F24"/>
    <mergeCell ref="H59:I59"/>
    <mergeCell ref="I4:J4"/>
    <mergeCell ref="E35:F35"/>
    <mergeCell ref="E36:F36"/>
    <mergeCell ref="R71:S71"/>
    <mergeCell ref="S6:T6"/>
    <mergeCell ref="O2:P2"/>
    <mergeCell ref="S7:T7"/>
    <mergeCell ref="O3:P3"/>
    <mergeCell ref="P10:Q10"/>
    <mergeCell ref="P11:Q11"/>
    <mergeCell ref="R70:S70"/>
    <mergeCell ref="O37:P37"/>
    <mergeCell ref="O30:P30"/>
  </mergeCells>
  <printOptions/>
  <pageMargins left="0.75" right="0.75" top="1" bottom="1" header="0.5" footer="0.5"/>
  <pageSetup fitToHeight="1" fitToWidth="1" horizontalDpi="600" verticalDpi="600" orientation="portrait" paperSize="9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3"/>
    <pageSetUpPr fitToPage="1"/>
  </sheetPr>
  <dimension ref="A1:V84"/>
  <sheetViews>
    <sheetView zoomScale="75" zoomScaleNormal="75" workbookViewId="0" topLeftCell="A1">
      <selection activeCell="AB38" sqref="AB38"/>
    </sheetView>
  </sheetViews>
  <sheetFormatPr defaultColWidth="9.140625" defaultRowHeight="12.75"/>
  <cols>
    <col min="1" max="1" width="47.28125" style="0" customWidth="1"/>
    <col min="2" max="2" width="13.00390625" style="3" customWidth="1"/>
    <col min="3" max="3" width="13.140625" style="3" customWidth="1"/>
    <col min="4" max="4" width="10.140625" style="0" customWidth="1"/>
    <col min="5" max="5" width="3.421875" style="0" customWidth="1"/>
    <col min="6" max="6" width="2.57421875" style="0" customWidth="1"/>
    <col min="7" max="8" width="3.421875" style="0" customWidth="1"/>
    <col min="9" max="9" width="4.00390625" style="0" customWidth="1"/>
    <col min="10" max="32" width="3.421875" style="0" customWidth="1"/>
  </cols>
  <sheetData>
    <row r="1" ht="12.75">
      <c r="O1" t="s">
        <v>9</v>
      </c>
    </row>
    <row r="2" spans="9:17" ht="15.75">
      <c r="I2" s="14">
        <f>C5</f>
        <v>19.98</v>
      </c>
      <c r="J2" s="14"/>
      <c r="K2" s="13" t="s">
        <v>1</v>
      </c>
      <c r="L2" s="15"/>
      <c r="O2" s="102">
        <f>K6+S6+P10</f>
        <v>14.68203339231804</v>
      </c>
      <c r="P2" s="100"/>
      <c r="Q2" t="s">
        <v>3</v>
      </c>
    </row>
    <row r="3" spans="2:17" ht="15.75">
      <c r="B3" s="3" t="s">
        <v>6</v>
      </c>
      <c r="C3" s="3" t="s">
        <v>7</v>
      </c>
      <c r="E3" t="s">
        <v>94</v>
      </c>
      <c r="I3" s="14"/>
      <c r="J3" s="14"/>
      <c r="K3" s="13"/>
      <c r="L3" s="15"/>
      <c r="M3" s="1"/>
      <c r="N3" s="1"/>
      <c r="O3" s="103">
        <f>K7+P11+S7</f>
        <v>1175.7384097952386</v>
      </c>
      <c r="P3" s="103"/>
      <c r="Q3" t="s">
        <v>33</v>
      </c>
    </row>
    <row r="4" spans="1:13" ht="15" customHeight="1">
      <c r="A4" s="8" t="s">
        <v>14</v>
      </c>
      <c r="B4" s="9"/>
      <c r="C4" s="9"/>
      <c r="D4" s="10"/>
      <c r="E4" s="108">
        <f>E11+E24</f>
        <v>20.160493792226838</v>
      </c>
      <c r="F4" s="100"/>
      <c r="G4" t="s">
        <v>3</v>
      </c>
      <c r="H4" s="12"/>
      <c r="I4" s="113">
        <f>C5*B6/1000</f>
        <v>3.996</v>
      </c>
      <c r="J4" s="113"/>
      <c r="K4" s="13" t="s">
        <v>46</v>
      </c>
      <c r="L4" s="13"/>
      <c r="M4" s="12"/>
    </row>
    <row r="5" spans="1:18" ht="12.75">
      <c r="A5" s="10" t="s">
        <v>10</v>
      </c>
      <c r="B5" s="81">
        <v>5.55</v>
      </c>
      <c r="C5" s="9">
        <f>B5*3.6</f>
        <v>19.98</v>
      </c>
      <c r="D5" s="10" t="s">
        <v>1</v>
      </c>
      <c r="L5" t="s">
        <v>9</v>
      </c>
      <c r="R5" t="s">
        <v>63</v>
      </c>
    </row>
    <row r="6" spans="1:22" ht="12.75">
      <c r="A6" s="10" t="s">
        <v>11</v>
      </c>
      <c r="B6" s="9">
        <v>200</v>
      </c>
      <c r="C6" s="82">
        <f>B6/14</f>
        <v>14.285714285714286</v>
      </c>
      <c r="D6" s="10" t="s">
        <v>21</v>
      </c>
      <c r="K6" s="102">
        <f>C21</f>
        <v>6.1161405780590075</v>
      </c>
      <c r="L6" s="105"/>
      <c r="M6" t="s">
        <v>3</v>
      </c>
      <c r="S6" s="101">
        <f>C83</f>
        <v>0.6985756377541803</v>
      </c>
      <c r="T6" s="101"/>
      <c r="U6" t="s">
        <v>3</v>
      </c>
      <c r="V6" s="16">
        <f>0.5*((1-C49)*C6*(10^(B38-9.3)/(10^(B38-9.3)+1))-C50*(10^(B82-9.3)/(10^(B82-9.3)+1))/14)*98</f>
        <v>55.94199301334777</v>
      </c>
    </row>
    <row r="7" spans="1:21" ht="12.75">
      <c r="A7" s="10" t="s">
        <v>12</v>
      </c>
      <c r="B7" s="9">
        <v>610</v>
      </c>
      <c r="C7" s="82">
        <f>B7/61</f>
        <v>10</v>
      </c>
      <c r="D7" s="10" t="s">
        <v>21</v>
      </c>
      <c r="K7" s="114">
        <f>C16*98*0.5</f>
        <v>489.78102727199257</v>
      </c>
      <c r="L7" s="115"/>
      <c r="M7" t="s">
        <v>33</v>
      </c>
      <c r="S7" s="102">
        <f>V6</f>
        <v>55.94199301334777</v>
      </c>
      <c r="T7" s="102"/>
      <c r="U7" t="s">
        <v>33</v>
      </c>
    </row>
    <row r="8" spans="1:4" ht="18.75" customHeight="1">
      <c r="A8" s="8" t="s">
        <v>15</v>
      </c>
      <c r="B8" s="9"/>
      <c r="C8" s="9"/>
      <c r="D8" s="10"/>
    </row>
    <row r="9" spans="1:16" ht="12.75">
      <c r="A9" s="10" t="s">
        <v>16</v>
      </c>
      <c r="B9" s="9">
        <v>1600</v>
      </c>
      <c r="C9" s="9"/>
      <c r="D9" s="10"/>
      <c r="P9" t="s">
        <v>62</v>
      </c>
    </row>
    <row r="10" spans="1:18" ht="12.75">
      <c r="A10" s="10" t="s">
        <v>17</v>
      </c>
      <c r="B10" s="9">
        <v>600</v>
      </c>
      <c r="C10" s="9"/>
      <c r="D10" s="10"/>
      <c r="P10" s="104">
        <f>C80</f>
        <v>7.867317176504852</v>
      </c>
      <c r="Q10" s="105"/>
      <c r="R10" t="s">
        <v>3</v>
      </c>
    </row>
    <row r="11" spans="1:18" ht="12.75">
      <c r="A11" s="10" t="s">
        <v>18</v>
      </c>
      <c r="B11" s="9">
        <v>300</v>
      </c>
      <c r="C11" s="9"/>
      <c r="D11" s="10"/>
      <c r="E11" s="110">
        <f>C35</f>
        <v>19.403372828589543</v>
      </c>
      <c r="F11" s="111"/>
      <c r="G11" t="s">
        <v>3</v>
      </c>
      <c r="L11" s="7">
        <f>B23</f>
        <v>50</v>
      </c>
      <c r="M11" s="6"/>
      <c r="N11" t="s">
        <v>33</v>
      </c>
      <c r="P11" s="105">
        <f>C51*0.5*3.6*98/C5</f>
        <v>630.0153895098981</v>
      </c>
      <c r="Q11" s="105"/>
      <c r="R11" t="s">
        <v>33</v>
      </c>
    </row>
    <row r="12" spans="1:13" ht="12.75" hidden="1">
      <c r="A12" s="10"/>
      <c r="B12" s="9"/>
      <c r="C12" s="9"/>
      <c r="D12" s="10"/>
      <c r="M12" t="s">
        <v>8</v>
      </c>
    </row>
    <row r="13" spans="1:14" ht="19.5" customHeight="1">
      <c r="A13" s="8" t="s">
        <v>19</v>
      </c>
      <c r="B13" s="9"/>
      <c r="C13" s="9"/>
      <c r="D13" s="10"/>
      <c r="L13" s="5">
        <f>C24</f>
        <v>3.33</v>
      </c>
      <c r="M13" s="6"/>
      <c r="N13" t="s">
        <v>3</v>
      </c>
    </row>
    <row r="14" spans="1:4" ht="12.75">
      <c r="A14" s="10" t="s">
        <v>13</v>
      </c>
      <c r="B14" s="9"/>
      <c r="C14" s="83">
        <f>(-LOG(C7/1000)+6.35)/2</f>
        <v>4.175</v>
      </c>
      <c r="D14" s="10" t="s">
        <v>0</v>
      </c>
    </row>
    <row r="15" spans="1:4" ht="12.75">
      <c r="A15" s="10" t="s">
        <v>20</v>
      </c>
      <c r="B15" s="9">
        <v>3</v>
      </c>
      <c r="C15" s="9"/>
      <c r="D15" s="10" t="s">
        <v>0</v>
      </c>
    </row>
    <row r="16" spans="1:11" ht="12.75">
      <c r="A16" s="10" t="s">
        <v>97</v>
      </c>
      <c r="B16" s="9"/>
      <c r="C16" s="81">
        <f>C7-C17</f>
        <v>9.995531168816175</v>
      </c>
      <c r="D16" s="10" t="s">
        <v>21</v>
      </c>
      <c r="I16" s="116">
        <f>B27</f>
        <v>10.5</v>
      </c>
      <c r="J16" s="116"/>
      <c r="K16" t="s">
        <v>0</v>
      </c>
    </row>
    <row r="17" spans="1:4" ht="12.75">
      <c r="A17" s="10" t="s">
        <v>98</v>
      </c>
      <c r="B17" s="9"/>
      <c r="C17" s="83">
        <f>C7*POWER(10,(B15-6.35))*(1+POWER(10,(B15-6.35)))</f>
        <v>0.004468831183824601</v>
      </c>
      <c r="D17" s="10" t="s">
        <v>21</v>
      </c>
    </row>
    <row r="18" spans="1:4" ht="12.75">
      <c r="A18" s="10" t="s">
        <v>22</v>
      </c>
      <c r="B18" s="84">
        <v>0.99</v>
      </c>
      <c r="C18" s="9"/>
      <c r="D18" s="10"/>
    </row>
    <row r="19" spans="1:12" ht="12.75">
      <c r="A19" s="10" t="s">
        <v>99</v>
      </c>
      <c r="B19" s="9"/>
      <c r="C19" s="81">
        <f>(1-B18)*C7</f>
        <v>0.10000000000000009</v>
      </c>
      <c r="D19" s="10" t="s">
        <v>21</v>
      </c>
      <c r="L19" t="s">
        <v>89</v>
      </c>
    </row>
    <row r="20" spans="1:4" ht="12.75">
      <c r="A20" s="10" t="s">
        <v>100</v>
      </c>
      <c r="B20" s="9"/>
      <c r="C20" s="81">
        <f>C17</f>
        <v>0.004468831183824601</v>
      </c>
      <c r="D20" s="10" t="s">
        <v>21</v>
      </c>
    </row>
    <row r="21" spans="1:4" ht="12.75">
      <c r="A21" s="10" t="s">
        <v>24</v>
      </c>
      <c r="B21" s="9"/>
      <c r="C21" s="11">
        <f>C5*C16*98*0.5/B9</f>
        <v>6.1161405780590075</v>
      </c>
      <c r="D21" s="10" t="s">
        <v>3</v>
      </c>
    </row>
    <row r="22" spans="1:4" ht="12.75">
      <c r="A22" s="10"/>
      <c r="B22" s="9"/>
      <c r="C22" s="9"/>
      <c r="D22" s="10"/>
    </row>
    <row r="23" spans="1:4" ht="12.75">
      <c r="A23" s="10" t="s">
        <v>23</v>
      </c>
      <c r="B23" s="9">
        <v>50</v>
      </c>
      <c r="C23" s="11">
        <f>B23/(55.85+35.45+35.45+35.45)</f>
        <v>0.3082614056720098</v>
      </c>
      <c r="D23" s="10" t="s">
        <v>21</v>
      </c>
    </row>
    <row r="24" spans="1:7" ht="12.75">
      <c r="A24" s="10" t="s">
        <v>29</v>
      </c>
      <c r="B24" s="9"/>
      <c r="C24" s="81">
        <f>C5*B23/B11</f>
        <v>3.33</v>
      </c>
      <c r="D24" s="10" t="s">
        <v>3</v>
      </c>
      <c r="E24" s="110">
        <f>C39</f>
        <v>0.7571209636372941</v>
      </c>
      <c r="F24" s="111"/>
      <c r="G24" t="s">
        <v>3</v>
      </c>
    </row>
    <row r="25" spans="1:11" ht="15">
      <c r="A25" s="10"/>
      <c r="B25" s="9"/>
      <c r="C25" s="9"/>
      <c r="D25" s="10"/>
      <c r="I25" s="117">
        <f>B41</f>
        <v>10</v>
      </c>
      <c r="J25" s="117"/>
      <c r="K25" s="2" t="s">
        <v>4</v>
      </c>
    </row>
    <row r="26" spans="1:11" ht="12.75">
      <c r="A26" s="10" t="s">
        <v>32</v>
      </c>
      <c r="B26" s="9"/>
      <c r="C26" s="82">
        <f>(LOG10(0.001*C6)+14+9.3)/2</f>
        <v>10.727450979992872</v>
      </c>
      <c r="D26" s="10"/>
      <c r="I26" s="111">
        <f>B38</f>
        <v>11</v>
      </c>
      <c r="J26" s="111"/>
      <c r="K26" t="s">
        <v>0</v>
      </c>
    </row>
    <row r="27" spans="1:13" ht="12.75">
      <c r="A27" s="10" t="s">
        <v>101</v>
      </c>
      <c r="B27" s="9">
        <v>10.5</v>
      </c>
      <c r="C27" s="85"/>
      <c r="D27" s="10"/>
      <c r="M27" s="6"/>
    </row>
    <row r="28" spans="1:13" ht="12.75">
      <c r="A28" s="10" t="s">
        <v>102</v>
      </c>
      <c r="B28" s="9"/>
      <c r="C28" s="81">
        <f>C6-C29</f>
        <v>13.437843669960463</v>
      </c>
      <c r="D28" s="10" t="s">
        <v>21</v>
      </c>
      <c r="L28" s="6"/>
      <c r="M28" s="6"/>
    </row>
    <row r="29" spans="1:13" ht="12.75">
      <c r="A29" s="10" t="s">
        <v>103</v>
      </c>
      <c r="B29" s="9"/>
      <c r="C29" s="83">
        <f>C6*POWER(10,(9.3-B27))/(1+POWER(10,(9.3-B27)))</f>
        <v>0.8478706157538238</v>
      </c>
      <c r="D29" s="10" t="s">
        <v>21</v>
      </c>
      <c r="L29" s="6"/>
      <c r="M29" s="6"/>
    </row>
    <row r="30" spans="1:17" ht="12.75">
      <c r="A30" s="10" t="s">
        <v>28</v>
      </c>
      <c r="B30" s="9"/>
      <c r="C30" s="81">
        <f>C31+C32+C33+C34</f>
        <v>14.567096718160316</v>
      </c>
      <c r="D30" s="10" t="s">
        <v>21</v>
      </c>
      <c r="M30" s="6"/>
      <c r="O30" s="107">
        <f>C50*C5/1000</f>
        <v>0.39951214788349615</v>
      </c>
      <c r="P30" s="107"/>
      <c r="Q30" s="4" t="s">
        <v>46</v>
      </c>
    </row>
    <row r="31" spans="1:4" ht="12.75">
      <c r="A31" s="86" t="s">
        <v>25</v>
      </c>
      <c r="B31" s="9"/>
      <c r="C31" s="11">
        <f>C19*2</f>
        <v>0.20000000000000018</v>
      </c>
      <c r="D31" s="10" t="s">
        <v>21</v>
      </c>
    </row>
    <row r="32" spans="1:4" ht="12.75">
      <c r="A32" s="86" t="s">
        <v>26</v>
      </c>
      <c r="B32" s="9"/>
      <c r="C32" s="81">
        <f>C20</f>
        <v>0.004468831183824601</v>
      </c>
      <c r="D32" s="10" t="s">
        <v>21</v>
      </c>
    </row>
    <row r="33" spans="1:6" ht="12.75">
      <c r="A33" s="86" t="s">
        <v>27</v>
      </c>
      <c r="B33" s="9"/>
      <c r="C33" s="82">
        <f>C28</f>
        <v>13.437843669960463</v>
      </c>
      <c r="D33" s="10" t="s">
        <v>21</v>
      </c>
      <c r="F33" t="s">
        <v>9</v>
      </c>
    </row>
    <row r="34" spans="1:4" ht="12.75">
      <c r="A34" s="86" t="s">
        <v>31</v>
      </c>
      <c r="B34" s="9"/>
      <c r="C34" s="81">
        <f>C23*3</f>
        <v>0.9247842170160294</v>
      </c>
      <c r="D34" s="10" t="s">
        <v>21</v>
      </c>
    </row>
    <row r="35" spans="1:7" ht="12.75">
      <c r="A35" s="10" t="s">
        <v>30</v>
      </c>
      <c r="B35" s="9"/>
      <c r="C35" s="81">
        <f>C30*40*C5/B10</f>
        <v>19.403372828589543</v>
      </c>
      <c r="D35" s="10" t="s">
        <v>3</v>
      </c>
      <c r="E35" s="101">
        <f>S6</f>
        <v>0.6985756377541803</v>
      </c>
      <c r="F35" s="100"/>
      <c r="G35" t="s">
        <v>3</v>
      </c>
    </row>
    <row r="36" spans="1:7" ht="12.75">
      <c r="A36" s="10" t="s">
        <v>34</v>
      </c>
      <c r="B36" s="9"/>
      <c r="C36" s="83">
        <f>C19+C32</f>
        <v>0.10446883118382469</v>
      </c>
      <c r="D36" s="10" t="s">
        <v>21</v>
      </c>
      <c r="E36" s="102">
        <f>S7</f>
        <v>55.94199301334777</v>
      </c>
      <c r="F36" s="100"/>
      <c r="G36" t="s">
        <v>33</v>
      </c>
    </row>
    <row r="37" spans="1:17" ht="14.25">
      <c r="A37" s="10" t="s">
        <v>104</v>
      </c>
      <c r="B37" s="9"/>
      <c r="C37" s="11">
        <f>C23</f>
        <v>0.3082614056720098</v>
      </c>
      <c r="D37" s="10" t="s">
        <v>21</v>
      </c>
      <c r="O37" s="106">
        <f>B42-C44/4.19/B5</f>
        <v>12.500000000000007</v>
      </c>
      <c r="P37" s="106"/>
      <c r="Q37" s="1" t="s">
        <v>4</v>
      </c>
    </row>
    <row r="38" spans="1:4" ht="12.75">
      <c r="A38" s="10" t="s">
        <v>38</v>
      </c>
      <c r="B38" s="9">
        <v>11</v>
      </c>
      <c r="C38" s="9"/>
      <c r="D38" s="10"/>
    </row>
    <row r="39" spans="1:14" ht="12.75">
      <c r="A39" s="10" t="s">
        <v>39</v>
      </c>
      <c r="B39" s="9"/>
      <c r="C39" s="83">
        <f>C5*40/B10*(C29-C6*POWER(10,(9.3-B38))/(1+POWER(10,(9.3-B38))))</f>
        <v>0.7571209636372941</v>
      </c>
      <c r="D39" s="10"/>
      <c r="L39" s="103">
        <f>C44</f>
        <v>1104.58875</v>
      </c>
      <c r="M39" s="105"/>
      <c r="N39" t="s">
        <v>2</v>
      </c>
    </row>
    <row r="40" spans="1:4" ht="18.75" customHeight="1">
      <c r="A40" s="8" t="s">
        <v>41</v>
      </c>
      <c r="B40" s="9"/>
      <c r="C40" s="9"/>
      <c r="D40" s="10"/>
    </row>
    <row r="41" spans="1:10" ht="15">
      <c r="A41" s="10" t="s">
        <v>105</v>
      </c>
      <c r="B41" s="9">
        <v>10</v>
      </c>
      <c r="C41" s="9"/>
      <c r="D41" s="10"/>
      <c r="I41">
        <f>B41+C44/4.19/B5</f>
        <v>57.49999999999999</v>
      </c>
      <c r="J41" s="2" t="s">
        <v>4</v>
      </c>
    </row>
    <row r="42" spans="1:4" ht="12.75">
      <c r="A42" s="10" t="s">
        <v>106</v>
      </c>
      <c r="B42" s="9">
        <v>60</v>
      </c>
      <c r="C42" s="9"/>
      <c r="D42" s="10"/>
    </row>
    <row r="43" spans="1:4" ht="12.75">
      <c r="A43" s="10" t="s">
        <v>35</v>
      </c>
      <c r="B43" s="87">
        <v>0.95</v>
      </c>
      <c r="C43" s="9"/>
      <c r="D43" s="10"/>
    </row>
    <row r="44" spans="1:4" ht="12.75">
      <c r="A44" s="10" t="s">
        <v>37</v>
      </c>
      <c r="B44" s="9"/>
      <c r="C44" s="88">
        <f>B43*(B42-B41)*4.19*B5</f>
        <v>1104.58875</v>
      </c>
      <c r="D44" s="10" t="s">
        <v>2</v>
      </c>
    </row>
    <row r="45" spans="1:14" ht="12.75">
      <c r="A45" s="10" t="s">
        <v>36</v>
      </c>
      <c r="B45" s="9">
        <v>1</v>
      </c>
      <c r="C45" s="9"/>
      <c r="D45" s="10" t="s">
        <v>2</v>
      </c>
      <c r="L45" s="103">
        <f>C46</f>
        <v>59.136250000000054</v>
      </c>
      <c r="M45" s="105"/>
      <c r="N45" t="s">
        <v>2</v>
      </c>
    </row>
    <row r="46" spans="1:4" ht="12.75">
      <c r="A46" s="10" t="s">
        <v>107</v>
      </c>
      <c r="B46" s="9"/>
      <c r="C46" s="88">
        <f>(1-B43)*(B42-B41)*4.19*B5+B45</f>
        <v>59.136250000000054</v>
      </c>
      <c r="D46" s="10" t="s">
        <v>2</v>
      </c>
    </row>
    <row r="47" spans="1:11" ht="23.25" customHeight="1">
      <c r="A47" s="8" t="s">
        <v>42</v>
      </c>
      <c r="B47" s="9"/>
      <c r="C47" s="9"/>
      <c r="D47" s="10"/>
      <c r="I47" s="111">
        <f>B42+B45/4.19/B5</f>
        <v>60.043002429637276</v>
      </c>
      <c r="J47" s="111"/>
      <c r="K47" s="2" t="s">
        <v>4</v>
      </c>
    </row>
    <row r="48" spans="1:4" ht="12.75">
      <c r="A48" t="s">
        <v>87</v>
      </c>
      <c r="B48" s="84">
        <v>0.9000219850141401</v>
      </c>
      <c r="C48" s="89"/>
      <c r="D48" s="90"/>
    </row>
    <row r="49" spans="1:4" ht="12.75">
      <c r="A49" s="10" t="s">
        <v>95</v>
      </c>
      <c r="C49" s="84">
        <f>1-(C50/14-C6*(10^(9.3-B38)/(10^(9.3-B38)+1)))/(C6*(10^(B38-9.3)/(10^(B38-9.3)+1)))</f>
        <v>0.9179797845075621</v>
      </c>
      <c r="D49" s="10"/>
    </row>
    <row r="50" spans="1:4" ht="12.75">
      <c r="A50" s="10" t="s">
        <v>88</v>
      </c>
      <c r="B50" s="9"/>
      <c r="C50" s="91">
        <f>(1-B48)*B6</f>
        <v>19.99560299717198</v>
      </c>
      <c r="D50" s="10" t="s">
        <v>5</v>
      </c>
    </row>
    <row r="51" spans="1:12" ht="12.75">
      <c r="A51" s="10" t="s">
        <v>55</v>
      </c>
      <c r="B51" s="9"/>
      <c r="C51" s="91">
        <f>C49*C6*B5*(10^(B38-9.3)/(10^(B38-9.3)+1))</f>
        <v>71.35888595469254</v>
      </c>
      <c r="D51" s="10" t="s">
        <v>56</v>
      </c>
      <c r="L51" s="4"/>
    </row>
    <row r="52" spans="1:4" ht="12.75">
      <c r="A52" s="10" t="s">
        <v>71</v>
      </c>
      <c r="B52" s="9"/>
      <c r="C52" s="83">
        <f>C51*132/2000</f>
        <v>4.709686473009707</v>
      </c>
      <c r="D52" s="10" t="s">
        <v>70</v>
      </c>
    </row>
    <row r="53" spans="1:4" ht="12.75" hidden="1">
      <c r="A53" s="10" t="s">
        <v>49</v>
      </c>
      <c r="B53" s="9"/>
      <c r="C53" s="9"/>
      <c r="D53" s="10"/>
    </row>
    <row r="54" spans="1:4" ht="12.75" hidden="1">
      <c r="A54" s="10" t="s">
        <v>50</v>
      </c>
      <c r="B54" s="9"/>
      <c r="C54" s="9"/>
      <c r="D54" s="10"/>
    </row>
    <row r="55" spans="1:4" ht="12.75">
      <c r="A55" s="10" t="s">
        <v>47</v>
      </c>
      <c r="B55" s="9"/>
      <c r="C55" s="81">
        <f>387194.1658*EXP(-3832.4/(273.15+B42))</f>
        <v>3.9085037447770845</v>
      </c>
      <c r="D55" s="10"/>
    </row>
    <row r="56" spans="1:4" ht="12.75">
      <c r="A56" s="10" t="s">
        <v>60</v>
      </c>
      <c r="B56" s="9">
        <v>4</v>
      </c>
      <c r="C56" s="88">
        <f>1000*B56/(0.082*(273.15+B42))</f>
        <v>146.42199551216584</v>
      </c>
      <c r="D56" s="10" t="s">
        <v>59</v>
      </c>
    </row>
    <row r="57" spans="1:4" ht="12.75">
      <c r="A57" s="10" t="s">
        <v>96</v>
      </c>
      <c r="B57" s="9"/>
      <c r="C57" s="81">
        <f>C55*C56/(B5/0.018)</f>
        <v>1.8560786522498387</v>
      </c>
      <c r="D57" s="10"/>
    </row>
    <row r="58" spans="1:10" ht="12.75">
      <c r="A58" s="10" t="s">
        <v>53</v>
      </c>
      <c r="B58" s="84"/>
      <c r="C58" s="87">
        <f>(C67-C64)/C67</f>
        <v>0.9748408764957933</v>
      </c>
      <c r="D58" s="10"/>
      <c r="H58" s="105">
        <f>B6</f>
        <v>200</v>
      </c>
      <c r="I58" s="105"/>
      <c r="J58" t="s">
        <v>79</v>
      </c>
    </row>
    <row r="59" spans="1:10" ht="12.75">
      <c r="A59" s="10" t="s">
        <v>52</v>
      </c>
      <c r="B59" s="9">
        <v>3</v>
      </c>
      <c r="C59" s="9"/>
      <c r="D59" s="10"/>
      <c r="H59" s="112">
        <f>C6</f>
        <v>14.285714285714286</v>
      </c>
      <c r="I59" s="105"/>
      <c r="J59" t="s">
        <v>21</v>
      </c>
    </row>
    <row r="60" spans="1:15" ht="12.75">
      <c r="A60" s="10" t="s">
        <v>51</v>
      </c>
      <c r="B60" s="9"/>
      <c r="C60" s="92">
        <f>LN(C71/C70)</f>
        <v>3.67589439002969</v>
      </c>
      <c r="D60" s="10"/>
      <c r="L60" s="105">
        <f>C64</f>
        <v>0.012302975382975138</v>
      </c>
      <c r="M60" s="105"/>
      <c r="N60" s="105"/>
      <c r="O60" t="s">
        <v>76</v>
      </c>
    </row>
    <row r="61" spans="1:4" ht="12.75">
      <c r="A61" s="10" t="s">
        <v>48</v>
      </c>
      <c r="B61" s="84">
        <v>0.2</v>
      </c>
      <c r="C61" s="81">
        <f>B61*1000/132</f>
        <v>1.5151515151515151</v>
      </c>
      <c r="D61" s="10" t="s">
        <v>57</v>
      </c>
    </row>
    <row r="62" spans="1:4" ht="12.75">
      <c r="A62" s="10" t="s">
        <v>43</v>
      </c>
      <c r="B62" s="9">
        <v>20</v>
      </c>
      <c r="C62" s="9"/>
      <c r="D62" s="10" t="s">
        <v>44</v>
      </c>
    </row>
    <row r="63" spans="1:4" ht="12.75">
      <c r="A63" s="10" t="s">
        <v>45</v>
      </c>
      <c r="B63" s="9"/>
      <c r="C63" s="11">
        <f>B62*B61*B56*(2/132)</f>
        <v>0.24242424242424243</v>
      </c>
      <c r="D63" s="10" t="s">
        <v>61</v>
      </c>
    </row>
    <row r="64" spans="1:14" ht="12.75">
      <c r="A64" s="10" t="s">
        <v>54</v>
      </c>
      <c r="B64" s="9"/>
      <c r="C64" s="9">
        <f>C65+C66</f>
        <v>0.012302975382975138</v>
      </c>
      <c r="D64" s="10" t="s">
        <v>65</v>
      </c>
      <c r="L64" s="105">
        <f>B56</f>
        <v>4</v>
      </c>
      <c r="M64" s="105"/>
      <c r="N64" t="s">
        <v>40</v>
      </c>
    </row>
    <row r="65" spans="1:14" ht="12.75">
      <c r="A65" s="86" t="s">
        <v>66</v>
      </c>
      <c r="B65" s="9"/>
      <c r="C65" s="9">
        <v>0.010647320837520593</v>
      </c>
      <c r="D65" s="10" t="s">
        <v>65</v>
      </c>
      <c r="L65" s="119">
        <f>C56</f>
        <v>146.42199551216584</v>
      </c>
      <c r="M65" s="105"/>
      <c r="N65" t="s">
        <v>77</v>
      </c>
    </row>
    <row r="66" spans="1:4" ht="12.75">
      <c r="A66" s="86" t="s">
        <v>67</v>
      </c>
      <c r="B66" s="9"/>
      <c r="C66" s="11">
        <f>C63/C56</f>
        <v>0.0016556545454545456</v>
      </c>
      <c r="D66" s="10" t="s">
        <v>65</v>
      </c>
    </row>
    <row r="67" spans="1:4" ht="12.75">
      <c r="A67" s="10" t="s">
        <v>68</v>
      </c>
      <c r="B67" s="9"/>
      <c r="C67" s="11">
        <f>(C51+C63)/C56</f>
        <v>0.4890065180894739</v>
      </c>
      <c r="D67" s="10" t="s">
        <v>65</v>
      </c>
    </row>
    <row r="68" spans="1:20" ht="12.75">
      <c r="A68" s="10" t="s">
        <v>69</v>
      </c>
      <c r="B68" s="9"/>
      <c r="C68" s="93">
        <f>C55*2*C61*(10^(B69-9.3)/(10^(B69-9.3)+1))*18/1000</f>
        <v>1.0684812882536382E-06</v>
      </c>
      <c r="D68" s="10" t="s">
        <v>65</v>
      </c>
      <c r="L68" s="118">
        <f>C71</f>
        <v>0.4857279400634819</v>
      </c>
      <c r="M68" s="105"/>
      <c r="N68" s="105"/>
      <c r="T68" t="s">
        <v>9</v>
      </c>
    </row>
    <row r="69" spans="1:12" ht="12.75">
      <c r="A69" s="10" t="s">
        <v>72</v>
      </c>
      <c r="B69" s="9">
        <v>4</v>
      </c>
      <c r="C69" s="9"/>
      <c r="D69" s="10"/>
      <c r="L69" t="s">
        <v>76</v>
      </c>
    </row>
    <row r="70" spans="1:20" ht="15">
      <c r="A70" s="10" t="s">
        <v>73</v>
      </c>
      <c r="B70" s="9"/>
      <c r="C70" s="94">
        <f>C64-C68</f>
        <v>0.012301906901686884</v>
      </c>
      <c r="D70" s="10" t="s">
        <v>65</v>
      </c>
      <c r="H70" s="117">
        <f>B42</f>
        <v>60</v>
      </c>
      <c r="I70" s="117"/>
      <c r="J70" s="2" t="s">
        <v>4</v>
      </c>
      <c r="R70" s="104">
        <f>C80</f>
        <v>7.867317176504852</v>
      </c>
      <c r="S70" s="105"/>
      <c r="T70" t="s">
        <v>3</v>
      </c>
    </row>
    <row r="71" spans="1:20" ht="12.75">
      <c r="A71" s="10" t="s">
        <v>74</v>
      </c>
      <c r="B71" s="9"/>
      <c r="C71" s="95">
        <f>C74-C68</f>
        <v>0.4857279400634819</v>
      </c>
      <c r="D71" s="10" t="s">
        <v>65</v>
      </c>
      <c r="H71" s="105">
        <f>C50</f>
        <v>19.99560299717198</v>
      </c>
      <c r="I71" s="105"/>
      <c r="J71" t="s">
        <v>64</v>
      </c>
      <c r="R71" s="100">
        <f>P11</f>
        <v>630.0153895098981</v>
      </c>
      <c r="S71" s="100"/>
      <c r="T71" t="s">
        <v>33</v>
      </c>
    </row>
    <row r="72" spans="1:10" ht="12.75">
      <c r="A72" s="10" t="s">
        <v>108</v>
      </c>
      <c r="B72" s="9"/>
      <c r="C72" s="96">
        <f>C6*C55*18*(10^(B38-9.3)/(10^(B38-9.3)+1))/1000</f>
        <v>0.9853828474717646</v>
      </c>
      <c r="D72" s="10" t="s">
        <v>65</v>
      </c>
      <c r="H72" s="105">
        <f>C50/14</f>
        <v>1.4282573569408556</v>
      </c>
      <c r="I72" s="105"/>
      <c r="J72" t="s">
        <v>21</v>
      </c>
    </row>
    <row r="73" spans="1:4" ht="12.75">
      <c r="A73" s="10" t="s">
        <v>78</v>
      </c>
      <c r="B73" s="9"/>
      <c r="C73" s="95">
        <f>C51/C56+C64</f>
        <v>0.49965383892699444</v>
      </c>
      <c r="D73" s="10" t="s">
        <v>65</v>
      </c>
    </row>
    <row r="74" spans="1:4" ht="12.75">
      <c r="A74" s="10" t="s">
        <v>75</v>
      </c>
      <c r="B74" s="9"/>
      <c r="C74" s="95">
        <f>C72-C73</f>
        <v>0.4857290085447702</v>
      </c>
      <c r="D74" s="10" t="s">
        <v>65</v>
      </c>
    </row>
    <row r="75" spans="1:14" ht="12.75">
      <c r="A75" s="10" t="s">
        <v>109</v>
      </c>
      <c r="B75" s="9"/>
      <c r="C75" s="97">
        <f>(1-C49)*C6*C55*18*(10^(C79-9.3)/(10^(C79-9.3)+1))/1000</f>
        <v>0.06630439252018099</v>
      </c>
      <c r="D75" s="10" t="s">
        <v>65</v>
      </c>
      <c r="J75" t="s">
        <v>58</v>
      </c>
      <c r="M75" s="109">
        <f>B59-C60</f>
        <v>-0.6758943900296899</v>
      </c>
      <c r="N75" s="109"/>
    </row>
    <row r="76" spans="1:10" ht="12.75">
      <c r="A76" s="10" t="s">
        <v>82</v>
      </c>
      <c r="B76" s="9"/>
      <c r="C76" s="9">
        <f>C75-C64</f>
        <v>0.05400141713720585</v>
      </c>
      <c r="D76" s="10" t="s">
        <v>65</v>
      </c>
      <c r="J76" t="s">
        <v>85</v>
      </c>
    </row>
    <row r="77" spans="1:4" ht="12.75">
      <c r="A77" s="10" t="s">
        <v>81</v>
      </c>
      <c r="B77" s="9">
        <v>4</v>
      </c>
      <c r="C77" s="9"/>
      <c r="D77" s="10"/>
    </row>
    <row r="78" spans="1:14" ht="12.75">
      <c r="A78" s="10" t="s">
        <v>80</v>
      </c>
      <c r="B78" s="9"/>
      <c r="C78" s="81">
        <f>(C73-C64)/((C74-C76)/LN(C74/C76))</f>
        <v>2.4796531573897704</v>
      </c>
      <c r="D78" s="10"/>
      <c r="J78" t="s">
        <v>83</v>
      </c>
      <c r="M78" s="105">
        <f>B77-C78</f>
        <v>1.5203468426102296</v>
      </c>
      <c r="N78" s="105"/>
    </row>
    <row r="79" spans="1:10" ht="12.75">
      <c r="A79" s="10" t="s">
        <v>86</v>
      </c>
      <c r="C79" s="91">
        <f>9.3+LOG((1-C49)*C6*(10^(B38-9.3)/(10^(B38-9.3)+1)))-LOG(C6*(10^(9.3-B38)/(10^(9.3-B38)+1)))</f>
        <v>9.913920905978701</v>
      </c>
      <c r="D79" s="10" t="s">
        <v>0</v>
      </c>
      <c r="J79" t="s">
        <v>84</v>
      </c>
    </row>
    <row r="80" spans="1:4" ht="12.75">
      <c r="A80" s="10" t="s">
        <v>90</v>
      </c>
      <c r="B80" s="9"/>
      <c r="C80" s="11">
        <f>C51*98*0.5*3.6/B9</f>
        <v>7.867317176504852</v>
      </c>
      <c r="D80" s="10" t="s">
        <v>3</v>
      </c>
    </row>
    <row r="81" spans="1:4" ht="24.75" customHeight="1">
      <c r="A81" s="8" t="s">
        <v>92</v>
      </c>
      <c r="B81" s="9"/>
      <c r="C81" s="9"/>
      <c r="D81" s="10"/>
    </row>
    <row r="82" spans="1:4" ht="12.75">
      <c r="A82" s="10" t="s">
        <v>93</v>
      </c>
      <c r="B82" s="9">
        <v>7</v>
      </c>
      <c r="C82" s="9"/>
      <c r="D82" s="10" t="s">
        <v>0</v>
      </c>
    </row>
    <row r="83" spans="1:4" ht="12.75">
      <c r="A83" s="10" t="s">
        <v>91</v>
      </c>
      <c r="B83" s="9"/>
      <c r="C83" s="11">
        <f>0.5*((1-C49)*C6*(10^(B38-9.3)/(10^(B38-9.3)+1))-C50*(10^(B82-9.3)/(10^(B82-9.3)+1))/14)*C5*98/B9</f>
        <v>0.6985756377541803</v>
      </c>
      <c r="D83" s="10" t="s">
        <v>3</v>
      </c>
    </row>
    <row r="84" spans="1:4" ht="12.75">
      <c r="A84" s="10"/>
      <c r="B84" s="9"/>
      <c r="C84" s="9"/>
      <c r="D84" s="10"/>
    </row>
  </sheetData>
  <mergeCells count="35">
    <mergeCell ref="R71:S71"/>
    <mergeCell ref="S6:T6"/>
    <mergeCell ref="O2:P2"/>
    <mergeCell ref="S7:T7"/>
    <mergeCell ref="O3:P3"/>
    <mergeCell ref="P10:Q10"/>
    <mergeCell ref="P11:Q11"/>
    <mergeCell ref="R70:S70"/>
    <mergeCell ref="O37:P37"/>
    <mergeCell ref="O30:P30"/>
    <mergeCell ref="E4:F4"/>
    <mergeCell ref="M75:N75"/>
    <mergeCell ref="L39:M39"/>
    <mergeCell ref="L45:M45"/>
    <mergeCell ref="E11:F11"/>
    <mergeCell ref="E24:F24"/>
    <mergeCell ref="H59:I59"/>
    <mergeCell ref="I4:J4"/>
    <mergeCell ref="E35:F35"/>
    <mergeCell ref="E36:F36"/>
    <mergeCell ref="H72:I72"/>
    <mergeCell ref="H71:I71"/>
    <mergeCell ref="K6:L6"/>
    <mergeCell ref="K7:L7"/>
    <mergeCell ref="I16:J16"/>
    <mergeCell ref="H70:I70"/>
    <mergeCell ref="I25:J25"/>
    <mergeCell ref="I47:J47"/>
    <mergeCell ref="I26:J26"/>
    <mergeCell ref="H58:I58"/>
    <mergeCell ref="L68:N68"/>
    <mergeCell ref="L60:N60"/>
    <mergeCell ref="L65:M65"/>
    <mergeCell ref="M78:N78"/>
    <mergeCell ref="L64:M64"/>
  </mergeCells>
  <printOptions/>
  <pageMargins left="0.75" right="0.75" top="1" bottom="1" header="0.5" footer="0.5"/>
  <pageSetup fitToHeight="1" fitToWidth="1" horizontalDpi="600" verticalDpi="600" orientation="portrait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Exjobb 1</dc:creator>
  <cp:keywords/>
  <dc:description/>
  <cp:lastModifiedBy>Leif Linde</cp:lastModifiedBy>
  <cp:lastPrinted>2003-07-26T18:31:00Z</cp:lastPrinted>
  <dcterms:created xsi:type="dcterms:W3CDTF">2002-06-27T09:11:31Z</dcterms:created>
  <dcterms:modified xsi:type="dcterms:W3CDTF">2003-07-31T05:56:55Z</dcterms:modified>
  <cp:category/>
  <cp:version/>
  <cp:contentType/>
  <cp:contentStatus/>
</cp:coreProperties>
</file>